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d.docs.live.net/aefed753c50b0137/Área de Trabalho/MOTORISTA/"/>
    </mc:Choice>
  </mc:AlternateContent>
  <xr:revisionPtr revIDLastSave="17" documentId="13_ncr:1_{521D5C27-0902-4DC4-B834-EC8C5D83C31F}" xr6:coauthVersionLast="47" xr6:coauthVersionMax="47" xr10:uidLastSave="{2E789BC7-4655-4B44-965B-2AE88A4B7E6F}"/>
  <bookViews>
    <workbookView xWindow="-108" yWindow="-108" windowWidth="23256" windowHeight="12456" tabRatio="934" xr2:uid="{00000000-000D-0000-FFFF-FFFF00000000}"/>
  </bookViews>
  <sheets>
    <sheet name="Resumo" sheetId="9" r:id="rId1"/>
    <sheet name="Motorista" sheetId="4" r:id="rId2"/>
    <sheet name="Quantidade de Serventes" sheetId="7" state="hidden" r:id="rId3"/>
    <sheet name="Diárias" sheetId="13" r:id="rId4"/>
    <sheet name="Memórias de Cálculo" sheetId="6" r:id="rId5"/>
  </sheets>
  <externalReferences>
    <externalReference r:id="rId6"/>
  </externalReferences>
  <definedNames>
    <definedName name="_xlnm.Print_Area" localSheetId="4">'Memórias de Cálculo'!$A$1:$F$15</definedName>
    <definedName name="_xlnm.Print_Area" localSheetId="1">Motorista!$A$1:$I$169</definedName>
    <definedName name="_xlnm.Print_Area" localSheetId="0">Resumo!$A$1:$F$7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9" l="1"/>
  <c r="D5" i="9"/>
  <c r="D4" i="9"/>
  <c r="E156" i="4" l="1"/>
  <c r="E155" i="4"/>
  <c r="H112" i="4"/>
  <c r="F17" i="13"/>
  <c r="F18" i="13" s="1"/>
  <c r="D13" i="6"/>
  <c r="I49" i="4"/>
  <c r="I50" i="4" l="1"/>
  <c r="E25" i="13" l="1"/>
  <c r="E24" i="13"/>
  <c r="F19" i="13"/>
  <c r="H12" i="13"/>
  <c r="G12" i="13"/>
  <c r="H13" i="13" l="1"/>
  <c r="H15" i="13"/>
  <c r="H16" i="13"/>
  <c r="G17" i="13"/>
  <c r="G16" i="13"/>
  <c r="G15" i="13"/>
  <c r="G14" i="13"/>
  <c r="H17" i="13"/>
  <c r="G13" i="13"/>
  <c r="H14" i="13"/>
  <c r="H17" i="4"/>
  <c r="H18" i="13" l="1"/>
  <c r="H19" i="13" s="1"/>
  <c r="F25" i="13" s="1"/>
  <c r="E5" i="9" l="1"/>
  <c r="F3" i="13"/>
  <c r="F4" i="13"/>
  <c r="H25" i="13" s="1"/>
  <c r="G18" i="13" l="1"/>
  <c r="G19" i="13" s="1"/>
  <c r="F24" i="13" s="1"/>
  <c r="F156" i="4"/>
  <c r="H24" i="13" l="1"/>
  <c r="H26" i="13" s="1"/>
  <c r="D9" i="6"/>
  <c r="E9" i="6" s="1"/>
  <c r="E4" i="9" l="1"/>
  <c r="F155" i="4"/>
  <c r="F157" i="4" s="1"/>
  <c r="I24" i="4"/>
  <c r="I26" i="4" l="1"/>
  <c r="D8" i="6"/>
  <c r="E8" i="6" s="1"/>
  <c r="D7" i="6"/>
  <c r="E7" i="6" s="1"/>
  <c r="D6" i="6"/>
  <c r="E6" i="6" s="1"/>
  <c r="D5" i="6"/>
  <c r="E5" i="6" s="1"/>
  <c r="D4" i="6"/>
  <c r="E4" i="6" s="1"/>
  <c r="B4" i="7"/>
  <c r="D3" i="7"/>
  <c r="D2" i="7"/>
  <c r="I146" i="4"/>
  <c r="I140" i="4"/>
  <c r="B129" i="4"/>
  <c r="B127" i="4"/>
  <c r="B126" i="4"/>
  <c r="B125" i="4"/>
  <c r="B124" i="4"/>
  <c r="B123" i="4"/>
  <c r="H84" i="4"/>
  <c r="H46" i="4"/>
  <c r="H80" i="4" s="1"/>
  <c r="H35" i="4"/>
  <c r="I25" i="4"/>
  <c r="I29" i="4" s="1"/>
  <c r="I34" i="4" l="1"/>
  <c r="D15" i="6"/>
  <c r="E4" i="7"/>
  <c r="H69" i="4"/>
  <c r="H70" i="4" s="1"/>
  <c r="I54" i="4"/>
  <c r="I60" i="4" s="1"/>
  <c r="I123" i="4" l="1"/>
  <c r="I33" i="4"/>
  <c r="I35" i="4" s="1"/>
  <c r="I69" i="4" l="1"/>
  <c r="I66" i="4"/>
  <c r="I67" i="4"/>
  <c r="F4" i="9"/>
  <c r="I94" i="4"/>
  <c r="I58" i="4"/>
  <c r="K36" i="4"/>
  <c r="F5" i="9" l="1"/>
  <c r="I98" i="4"/>
  <c r="I127" i="4" s="1"/>
  <c r="I40" i="4"/>
  <c r="I41" i="4"/>
  <c r="I45" i="4"/>
  <c r="I65" i="4" s="1"/>
  <c r="I39" i="4"/>
  <c r="I38" i="4"/>
  <c r="I44" i="4"/>
  <c r="I43" i="4"/>
  <c r="I42" i="4"/>
  <c r="I46" i="4" l="1"/>
  <c r="I59" i="4" s="1"/>
  <c r="I61" i="4" s="1"/>
  <c r="I68" i="4" l="1"/>
  <c r="I70" i="4" s="1"/>
  <c r="I124" i="4"/>
  <c r="I125" i="4" l="1"/>
  <c r="K72" i="4"/>
  <c r="I74" i="4" s="1"/>
  <c r="I84" i="4"/>
  <c r="I89" i="4" s="1"/>
  <c r="I77" i="4"/>
  <c r="I78" i="4"/>
  <c r="I75" i="4"/>
  <c r="I76" i="4"/>
  <c r="I79" i="4"/>
  <c r="I80" i="4" l="1"/>
  <c r="I88" i="4" s="1"/>
  <c r="I90" i="4" s="1"/>
  <c r="I126" i="4" s="1"/>
  <c r="I128" i="4" s="1"/>
  <c r="I102" i="4" l="1"/>
  <c r="I103" i="4" s="1"/>
  <c r="I115" i="4" l="1"/>
  <c r="I117" i="4" s="1"/>
  <c r="I119" i="4" s="1"/>
  <c r="I105" i="4" l="1"/>
  <c r="I145" i="4" s="1"/>
  <c r="I148" i="4" s="1"/>
  <c r="I107" i="4"/>
  <c r="I106" i="4"/>
  <c r="I110" i="4"/>
  <c r="I129" i="4" s="1"/>
  <c r="I130" i="4" s="1"/>
  <c r="C171" i="4" s="1"/>
  <c r="C172" i="4" s="1"/>
  <c r="E3" i="9"/>
  <c r="I147" i="4"/>
  <c r="B169" i="4" l="1"/>
  <c r="D152" i="4"/>
  <c r="F158" i="4" s="1"/>
  <c r="F159" i="4" s="1"/>
  <c r="F160" i="4" s="1"/>
  <c r="F6" i="9"/>
  <c r="F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User</author>
  </authors>
  <commentList>
    <comment ref="B12" authorId="0" shapeId="0" xr:uid="{C9DAC82D-8D80-4517-A283-8FFD32F47C26}">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B13" authorId="0" shapeId="0" xr:uid="{5377C735-0C1D-4FBF-AA45-063361AB3BEB}">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B14" authorId="0" shapeId="0" xr:uid="{6FF563E6-E634-4789-B98E-6C27BD2D6A8C}">
      <text>
        <r>
          <rPr>
            <sz val="11"/>
            <color rgb="FF000000"/>
            <rFont val="Calibri"/>
            <family val="2"/>
            <charset val="1"/>
          </rPr>
          <t>Cálculo:
Apuração do Coeficiente:
1-(Tributos/100) = "Coeficiente"
Cálculo:
Faturamento/Coeficiente x Aliquota</t>
        </r>
      </text>
    </comment>
    <comment ref="B15" authorId="1" shapeId="0" xr:uid="{AD8BC3BB-15CB-4E56-A21A-64CA41159C03}">
      <text>
        <r>
          <rPr>
            <b/>
            <sz val="9"/>
            <color indexed="81"/>
            <rFont val="Segoe UI"/>
            <charset val="1"/>
          </rPr>
          <t>COBRANÇA DE TRIBUTO:</t>
        </r>
        <r>
          <rPr>
            <sz val="9"/>
            <color indexed="81"/>
            <rFont val="Segoe UI"/>
            <charset val="1"/>
          </rPr>
          <t xml:space="preserve">
Em conformidade com o entendimento da RFB: 
 Solução de Consulta Cosit nº 191, de 29 de junho de 2004
 Solução de Consulta Cosit  nº 159, de 14 de junho de 2012
 Solução de Consulta Cosit nº 72, de 24 de junho de 2020</t>
        </r>
      </text>
    </comment>
    <comment ref="B16" authorId="1" shapeId="0" xr:uid="{7638EF9C-9A95-41BE-A033-86982B067C57}">
      <text>
        <r>
          <rPr>
            <b/>
            <sz val="9"/>
            <color indexed="81"/>
            <rFont val="Segoe UI"/>
            <charset val="1"/>
          </rPr>
          <t>User:</t>
        </r>
        <r>
          <rPr>
            <sz val="9"/>
            <color indexed="81"/>
            <rFont val="Segoe UI"/>
            <charset val="1"/>
          </rPr>
          <t xml:space="preserve">
COBRANÇA DE TRIBUTO:
Em conformidade com o entendimento da RFB: 
 Solução de Consulta Cosit nº 191, de 29 de junho de 2004
 Solução de Consulta Cosit  nº 159, de 14 de junho de 2012
 Solução de Consulta Cosit nº 72, de 24 de junho de 202</t>
        </r>
      </text>
    </comment>
    <comment ref="F18" authorId="0" shapeId="0" xr:uid="{41536A3B-504C-4B16-9104-C62F7493512A}">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sharedStrings.xml><?xml version="1.0" encoding="utf-8"?>
<sst xmlns="http://schemas.openxmlformats.org/spreadsheetml/2006/main" count="353" uniqueCount="238">
  <si>
    <t>Item</t>
  </si>
  <si>
    <t>Profissional</t>
  </si>
  <si>
    <t>Unidade de medida</t>
  </si>
  <si>
    <t>quantidade</t>
  </si>
  <si>
    <t>Valor unitário</t>
  </si>
  <si>
    <t>Prestação de serviços de direção veicular - 44h semanais (posto)</t>
  </si>
  <si>
    <t>Posto</t>
  </si>
  <si>
    <t>Diárias integrais (com pernoite)</t>
  </si>
  <si>
    <t>Unidade</t>
  </si>
  <si>
    <t>Diárias integrais (sem pernoite)</t>
  </si>
  <si>
    <t>Valor mensal</t>
  </si>
  <si>
    <t>Categoria profissional: Motorista</t>
  </si>
  <si>
    <t>Discriminação dos Serviços</t>
  </si>
  <si>
    <t>A</t>
  </si>
  <si>
    <t>Data de apresentação da proposta</t>
  </si>
  <si>
    <t>-</t>
  </si>
  <si>
    <t>B</t>
  </si>
  <si>
    <t>Município</t>
  </si>
  <si>
    <t>C</t>
  </si>
  <si>
    <t>Ano do Acordo, Convenção ou Dissídio Coletivo</t>
  </si>
  <si>
    <t>RN000278/2023</t>
  </si>
  <si>
    <t>D</t>
  </si>
  <si>
    <t>Nº de meses de execução contratual</t>
  </si>
  <si>
    <t>Identificação do Serviço</t>
  </si>
  <si>
    <t>Tipo de Serviço</t>
  </si>
  <si>
    <t>Unidade de Medida</t>
  </si>
  <si>
    <t>Quantidade total a contratar (em função da unidade de medida)</t>
  </si>
  <si>
    <t>Vigilância</t>
  </si>
  <si>
    <t>Dados para composição dos custos referentes à mão-de-obra</t>
  </si>
  <si>
    <t>Tipo de serviço (mesmo serviço com características distintas)</t>
  </si>
  <si>
    <t>DIREÇÃO VEICULAR</t>
  </si>
  <si>
    <t>Classificação Brasileira de Ocupações (CBO)</t>
  </si>
  <si>
    <t>7824-05</t>
  </si>
  <si>
    <t>Salário Normativo da Categoria Profissional</t>
  </si>
  <si>
    <t>Categoria profissional (vinculada à execução contratual)</t>
  </si>
  <si>
    <t>MOTORISTA</t>
  </si>
  <si>
    <t>Data base da categoria (dia/mês/ano)</t>
  </si>
  <si>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</si>
  <si>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</si>
  <si>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</si>
  <si>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</si>
  <si>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</si>
  <si>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</si>
  <si>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</si>
  <si>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</si>
  <si>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</si>
  <si>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</si>
  <si>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</si>
  <si>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</si>
  <si>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</si>
  <si>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t>MÓDULO 2 – ENCARGOS E BENEFÍCIOS ANUAIS, MENSAIS E DIÁRIOS</t>
  </si>
  <si>
    <t>Submódulo 2.1 - 13º Salário, Férias e Adicional de Férias</t>
  </si>
  <si>
    <r>
      <rPr>
        <sz val="10"/>
        <rFont val="Arial"/>
        <family val="2"/>
      </rPr>
      <t>13 (Décimo-terceiro) salário</t>
    </r>
    <r>
      <rPr>
        <sz val="10"/>
        <color indexed="10"/>
        <rFont val="Arial"/>
        <family val="2"/>
      </rPr>
      <t xml:space="preserve"> </t>
    </r>
  </si>
  <si>
    <t>Férias e Adicional de Férias</t>
  </si>
  <si>
    <t>TOTAL SUBMÓDULO 2.1</t>
  </si>
  <si>
    <t>BASE 2.2</t>
  </si>
  <si>
    <t>Submódulo 2.2 - GPS, FGTS e Outras Contribuições</t>
  </si>
  <si>
    <t xml:space="preserve">INSS </t>
  </si>
  <si>
    <t xml:space="preserve">Salário Educação </t>
  </si>
  <si>
    <t>SAT (Seguro Acidente de Trabalho)</t>
  </si>
  <si>
    <t>SESC ou SESI</t>
  </si>
  <si>
    <t xml:space="preserve">SENAI - SENAC </t>
  </si>
  <si>
    <t xml:space="preserve">SEBRAE </t>
  </si>
  <si>
    <t>G</t>
  </si>
  <si>
    <t xml:space="preserve">INCRA </t>
  </si>
  <si>
    <t>H</t>
  </si>
  <si>
    <t xml:space="preserve">FGTS </t>
  </si>
  <si>
    <t>TOTAL SUBMÓDULO 2.2</t>
  </si>
  <si>
    <t>Submódulo 2.3 - Benefícios Mensais e Diários</t>
  </si>
  <si>
    <t xml:space="preserve">Transporte </t>
  </si>
  <si>
    <t xml:space="preserve">Auxílio-Refeição/Alimentação </t>
  </si>
  <si>
    <t>PLANO DE SAÚDE</t>
  </si>
  <si>
    <t>Plano odontológico</t>
  </si>
  <si>
    <t xml:space="preserve">Outros </t>
  </si>
  <si>
    <t>TOTAL SUBMÓDULO 2.3</t>
  </si>
  <si>
    <t>QUADRO-RESUMO DO MÓDULO 2 - ENCARGOS, BENEFÍCIOS ANUAIS, MENSAIS E DIÁRIOS</t>
  </si>
  <si>
    <t>Módulo 2 - Encargos, Benefícios Anuais, Mensais e Diários</t>
  </si>
  <si>
    <t>2.1</t>
  </si>
  <si>
    <t>13º Salário, Férias e Adicional de Férias</t>
  </si>
  <si>
    <t>2.2</t>
  </si>
  <si>
    <t>GPS, FGTS e Outras Contribuições</t>
  </si>
  <si>
    <t>2.3</t>
  </si>
  <si>
    <t>Benefícios Mensais e Diários</t>
  </si>
  <si>
    <t>TOTAL DO MÓDULO 2</t>
  </si>
  <si>
    <t>MÓDULO 3 – PROVISÃO PARA RESCISÃO</t>
  </si>
  <si>
    <t>PROVISÃO PARA RESCISÃO</t>
  </si>
  <si>
    <t>Aviso Prévio Indenizado</t>
  </si>
  <si>
    <t>Incidência do FGTS sobre Aviso Prévio Indenizado</t>
  </si>
  <si>
    <t>Multa do FGTS e Contribuição Social sobre o Aviso Prévio Indenizado</t>
  </si>
  <si>
    <t xml:space="preserve">Aviso Prévio Trabalhado </t>
  </si>
  <si>
    <t>Incidência de GPS, FGTS e outras contribuições sobre Aviso Prévio Trabalhado</t>
  </si>
  <si>
    <t>TOTAL DO MÓDULO 3</t>
  </si>
  <si>
    <t>MÓDULO 4 – CUSTO DE REPOSIÇÃO DO PROFISSIONAL AUSENTE</t>
  </si>
  <si>
    <t>BASE 4</t>
  </si>
  <si>
    <t>Submódulo 4.1 - Substituto nas Ausências Legais</t>
  </si>
  <si>
    <t xml:space="preserve">Substituto na cobertura de Férias </t>
  </si>
  <si>
    <t>Substituto na cobertura de Ausências Legais</t>
  </si>
  <si>
    <t>Substituto na cobertura de Licença Paternidade</t>
  </si>
  <si>
    <r>
      <rPr>
        <sz val="10"/>
        <rFont val="Arial"/>
        <family val="2"/>
      </rPr>
      <t>Substituto na cobertura de Ausência por Acidente de Trabalho</t>
    </r>
    <r>
      <rPr>
        <sz val="10"/>
        <color indexed="10"/>
        <rFont val="Arial"/>
        <family val="2"/>
      </rPr>
      <t xml:space="preserve"> </t>
    </r>
  </si>
  <si>
    <t>Substituto na cobertura de Afastamento Maternidade</t>
  </si>
  <si>
    <t>Substituto na cobertura de Outras Ausências (Ausência por doença)</t>
  </si>
  <si>
    <t>TOTAL SUBMÓDULO 4.1</t>
  </si>
  <si>
    <t>Submódulo 4.2 - Substituto na Intrajornada</t>
  </si>
  <si>
    <t>Intervalo para Repouso ou Alimentação</t>
  </si>
  <si>
    <t>TOTAL SUBMÓDULO 4.2</t>
  </si>
  <si>
    <t>QUADRO-RESUMO DO MÓDULO 4 - CUSTO DE REPOSIÇÃO DO PROFISSIONAL AUSENTE</t>
  </si>
  <si>
    <t>Módulo 4 - Custo de Reposição do Profissional Ausente</t>
  </si>
  <si>
    <t>4.1</t>
  </si>
  <si>
    <t>Substituto nas Ausências Legais</t>
  </si>
  <si>
    <t>4.2</t>
  </si>
  <si>
    <t>Substituto na Intrajornada</t>
  </si>
  <si>
    <t>TOTAL DO MÓDULO 4</t>
  </si>
  <si>
    <t>MÓDULO 5 – INSUMOS DIVERSOS</t>
  </si>
  <si>
    <t>INSUMOS DIVERSOS</t>
  </si>
  <si>
    <t xml:space="preserve">Uniformes </t>
  </si>
  <si>
    <t>Materiais</t>
  </si>
  <si>
    <t>Equipamentos</t>
  </si>
  <si>
    <t>TOTAL DO MÓDULO 5</t>
  </si>
  <si>
    <t>MÓDULO 6 – CUSTOS INDIRETOS, TRIBUTOS E LUCRO</t>
  </si>
  <si>
    <t>CUSTOS INDIRETOS, TRIBUTOS E LUCRO</t>
  </si>
  <si>
    <t>Custos Indiretos</t>
  </si>
  <si>
    <t>Lucro</t>
  </si>
  <si>
    <t>TRIBUTOS</t>
  </si>
  <si>
    <t>C.1</t>
  </si>
  <si>
    <t>PIS</t>
  </si>
  <si>
    <t>C.2</t>
  </si>
  <si>
    <t>COFINS</t>
  </si>
  <si>
    <t>C.3</t>
  </si>
  <si>
    <t>ISS</t>
  </si>
  <si>
    <t>TOTAL DO MÓDULO 6</t>
  </si>
  <si>
    <t>a)</t>
  </si>
  <si>
    <t>Tributos % = To = .............................................................</t>
  </si>
  <si>
    <t>b)</t>
  </si>
  <si>
    <t>(Total dos Módulos 1, 2, 3, 4 e 5+ Custos indiretos + lucro)= Po = ...................................</t>
  </si>
  <si>
    <t>c)</t>
  </si>
  <si>
    <t>Po / (1 - To) = P1 = ..............................................................................</t>
  </si>
  <si>
    <t>Valor dos Tributos = P1 - Po</t>
  </si>
  <si>
    <t>QUADRO RESUMO DO CUSTO POR EMPREGADO</t>
  </si>
  <si>
    <t>Mão-de-Obra vinculada à execução contratual (valor por empregado)</t>
  </si>
  <si>
    <t>Subtotal (A + B + C + D + E)</t>
  </si>
  <si>
    <t>PREÇO TOTAL POR EMPREGADO SEM DIÁRIAS</t>
  </si>
  <si>
    <t>Quantidade de empregados</t>
  </si>
  <si>
    <t>Quadro Resumo - VALOR MENSAL DOS SERVIÇOS</t>
  </si>
  <si>
    <t>Tipo de Serviço (A)</t>
  </si>
  <si>
    <t>Valor Por Empregado(B)</t>
  </si>
  <si>
    <t>Qde de Empregados por posto ( C )</t>
  </si>
  <si>
    <t>Valor Proposto por Posto (D) = (B x C)</t>
  </si>
  <si>
    <t>Qde Postos (E)</t>
  </si>
  <si>
    <t>Serviço 1 (indicar)</t>
  </si>
  <si>
    <t>R$</t>
  </si>
  <si>
    <t>Serviço 2 (indicar)</t>
  </si>
  <si>
    <t>Serviço 3 (indicar)</t>
  </si>
  <si>
    <t>Serviço ... (indicar)</t>
  </si>
  <si>
    <t>VALOR MENSAL DOS SERVIÇOS (I + II + III + ...)</t>
  </si>
  <si>
    <t>Anexo III-D</t>
  </si>
  <si>
    <t>Quadro Demonstrativo - VALOR GLOBAL DA PROPOSTA</t>
  </si>
  <si>
    <t>VALOR GLOBAL DA PROPOSTA</t>
  </si>
  <si>
    <t>Descrição</t>
  </si>
  <si>
    <t>Valor proposto por unidade de medida*</t>
  </si>
  <si>
    <t>Valor mensal do serviço</t>
  </si>
  <si>
    <t>Valor Global da Proposta (valor mensal do serviço X nº meses do contrato).</t>
  </si>
  <si>
    <t>TOTAL</t>
  </si>
  <si>
    <t>Nota(1):</t>
  </si>
  <si>
    <t>Informar o valor da unidade de medida por tipo de serviço.</t>
  </si>
  <si>
    <t>Valor total do Posto</t>
  </si>
  <si>
    <t>Estimativa mensal de diárias</t>
  </si>
  <si>
    <t>Diárias com pernoite</t>
  </si>
  <si>
    <t>Diárias sem pernoite</t>
  </si>
  <si>
    <t>Total estimado mensal de diárias por empregado</t>
  </si>
  <si>
    <t>Custo estimado Mensal por empregado</t>
  </si>
  <si>
    <t>Custo estimado Mensal da contratação</t>
  </si>
  <si>
    <t>Custo estimado total anual da contratação</t>
  </si>
  <si>
    <t>Obs 1: De acordo com o 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t>
  </si>
  <si>
    <t>Obs 2: Nas eventuais prorrogações do contrato, os custos não renováveis já pagos ou amortizados no primeiro ano da contratação deverão ser eliminados como condição para a renovação.</t>
  </si>
  <si>
    <t>Obs 3:os licitantes, quando tributados pelo regime de incidência não-cumulativa de PIS e COFINS, dever cotar na planilha de custos e formação de preços as alíquotas médias efetivamente recolhidas dessas contribuições.</t>
  </si>
  <si>
    <t>FATOR K</t>
  </si>
  <si>
    <t>PREÇO GLOBAL</t>
  </si>
  <si>
    <t>Área (m2)</t>
  </si>
  <si>
    <t>Produtividade IN 05/2017</t>
  </si>
  <si>
    <t>Quantidade apurada</t>
  </si>
  <si>
    <t>Quantidade de Serventes</t>
  </si>
  <si>
    <t>Área Interna</t>
  </si>
  <si>
    <t>Área Externa</t>
  </si>
  <si>
    <t>IDENTIFICAÇÃO DO SERVIÇO</t>
  </si>
  <si>
    <t>Estimativa média a contratar p ano</t>
  </si>
  <si>
    <r>
      <t xml:space="preserve">Diárias em viagens </t>
    </r>
    <r>
      <rPr>
        <b/>
        <sz val="11"/>
        <rFont val="Cambria"/>
        <family val="1"/>
      </rPr>
      <t>sem</t>
    </r>
    <r>
      <rPr>
        <sz val="11"/>
        <rFont val="Cambria"/>
        <family val="1"/>
      </rPr>
      <t xml:space="preserve"> pernoite</t>
    </r>
  </si>
  <si>
    <t>Diária</t>
  </si>
  <si>
    <r>
      <t xml:space="preserve">Diárias em viagens </t>
    </r>
    <r>
      <rPr>
        <b/>
        <sz val="11"/>
        <rFont val="Cambria"/>
        <family val="1"/>
      </rPr>
      <t>com</t>
    </r>
    <r>
      <rPr>
        <sz val="11"/>
        <rFont val="Cambria"/>
        <family val="1"/>
      </rPr>
      <t xml:space="preserve"> pernoite</t>
    </r>
  </si>
  <si>
    <t>Discriminação dos Serviços (Dados referentes à contratação)</t>
  </si>
  <si>
    <t>Diária vinculada à execução contratual</t>
  </si>
  <si>
    <t>Valor (R$)
(sem pernoite)</t>
  </si>
  <si>
    <t>Valor (R$)
(com pernoite)</t>
  </si>
  <si>
    <t>Diárias para deslocamento</t>
  </si>
  <si>
    <t>Custos Indiretos, Tributos e Lucro</t>
  </si>
  <si>
    <t xml:space="preserve">Custos Indiretos </t>
  </si>
  <si>
    <t>C1</t>
  </si>
  <si>
    <t>C2</t>
  </si>
  <si>
    <t>Total Tributos:</t>
  </si>
  <si>
    <t>Total dos custos indiretos, tributos e lucro:</t>
  </si>
  <si>
    <t>QUADRO DEMONSTRATIVO - VALOR GLOBAL DA PROPOSTA POR MÊS</t>
  </si>
  <si>
    <t>Valor da Diária</t>
  </si>
  <si>
    <t>Valor da Diária Faturada</t>
  </si>
  <si>
    <t>Quant.</t>
  </si>
  <si>
    <t>Valor Total</t>
  </si>
  <si>
    <t>Diárias para deslocamento (sem pernoite)</t>
  </si>
  <si>
    <t>Diárias para deslocamento (com pernoite)</t>
  </si>
  <si>
    <t>Total:</t>
  </si>
  <si>
    <t>Memória de Cálculo de Uniforme</t>
  </si>
  <si>
    <t>Quant</t>
  </si>
  <si>
    <t>Preço Unitário</t>
  </si>
  <si>
    <t>Preço Total</t>
  </si>
  <si>
    <t>Fonte de Pesquisa</t>
  </si>
  <si>
    <t>Sapato social</t>
  </si>
  <si>
    <t>Painel de Preços</t>
  </si>
  <si>
    <t>Calça</t>
  </si>
  <si>
    <t>meia</t>
  </si>
  <si>
    <t>cinto</t>
  </si>
  <si>
    <t>Crachá</t>
  </si>
  <si>
    <t>camisa</t>
  </si>
  <si>
    <t>TOTAL (12 meses)</t>
  </si>
  <si>
    <t>Custo por profissional por mês</t>
  </si>
  <si>
    <t>Tributos Federais  (PIS 0,65% +COFINS 3,0%)</t>
  </si>
  <si>
    <t>Tributos Municipais (ISS)</t>
  </si>
  <si>
    <t xml:space="preserve">TABELA SINTRO </t>
  </si>
  <si>
    <t xml:space="preserve">CCT </t>
  </si>
  <si>
    <t>C3</t>
  </si>
  <si>
    <t>C4</t>
  </si>
  <si>
    <t>c.4</t>
  </si>
  <si>
    <t>TRIBUTOS ESTADUAIS (especificar)</t>
  </si>
  <si>
    <t>TOTAL CITL=(1+CI/1-T-L)</t>
  </si>
  <si>
    <t>Custo mensal</t>
  </si>
  <si>
    <t xml:space="preserve">RESUMO DO CUSTO MENSAL / ANUAL </t>
  </si>
  <si>
    <t>IR *</t>
  </si>
  <si>
    <t>INSS*</t>
  </si>
  <si>
    <t>* COBRANÇA Do IR e INSS: Em conformidade com o entendimento da RFB: 
 Solução de Consulta Cosit nº 191, de 29 de junho de 2004
 Solução de Consulta Cosit  nº 159, de 14 de junho de 2012
 Solução de Consulta Cosit nº 72, de 24 de junho de 2020</t>
  </si>
  <si>
    <t xml:space="preserve">PREÇO MENSAL DO POSTO </t>
  </si>
  <si>
    <t xml:space="preserve">Valor total Anual </t>
  </si>
  <si>
    <t>Nova Cruz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</si>
</sst>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R$&quot;* #,##0.00_-;\-&quot;R$&quot;* #,##0.00_-;_-&quot;R$&quot;* &quot;-&quot;??_-;_-@_-"/>
    <numFmt numFmtId="165" formatCode="&quot;R$ &quot;#,##0.00_);[Red]\(&quot;R$ &quot;#,##0.00\)"/>
    <numFmt numFmtId="166" formatCode="_(&quot;R$ &quot;* #,##0.00_);_(&quot;R$ &quot;* \(#,##0.00\);_(&quot;R$ &quot;* &quot;-&quot;??_);_(@_)"/>
    <numFmt numFmtId="167" formatCode="0.0%"/>
    <numFmt numFmtId="168" formatCode="&quot;R$&quot;\ #,##0.00"/>
    <numFmt numFmtId="169" formatCode="&quot;R$&quot;#,##0.00"/>
  </numFmts>
  <fonts count="24">
    <font>
      <sz val="10"/>
      <name val="Arial"/>
      <charset val="134"/>
    </font>
    <font>
      <b/>
      <sz val="12"/>
      <name val="Arial"/>
      <family val="2"/>
    </font>
    <font>
      <b/>
      <sz val="10"/>
      <name val="Arial"/>
      <family val="2"/>
    </font>
    <font>
      <sz val="10"/>
      <name val="Arial"/>
      <family val="2"/>
    </font>
    <font>
      <sz val="10"/>
      <color indexed="10"/>
      <name val="Arial"/>
      <family val="2"/>
    </font>
    <font>
      <b/>
      <i/>
      <sz val="10"/>
      <color rgb="FF000000"/>
      <name val="Cambria"/>
      <family val="1"/>
    </font>
    <font>
      <sz val="11"/>
      <name val="Cambria"/>
      <family val="1"/>
    </font>
    <font>
      <b/>
      <i/>
      <sz val="8"/>
      <color rgb="FF000000"/>
      <name val="Cambria"/>
      <family val="1"/>
    </font>
    <font>
      <b/>
      <sz val="11"/>
      <name val="Cambria"/>
      <family val="1"/>
    </font>
    <font>
      <b/>
      <i/>
      <sz val="11"/>
      <name val="Cambria"/>
      <family val="1"/>
    </font>
    <font>
      <b/>
      <i/>
      <sz val="8"/>
      <name val="Cambria"/>
      <family val="1"/>
    </font>
    <font>
      <sz val="11"/>
      <color rgb="FF000000"/>
      <name val="Cambria"/>
      <family val="1"/>
    </font>
    <font>
      <b/>
      <i/>
      <sz val="11"/>
      <color rgb="FF000000"/>
      <name val="Cambria"/>
      <family val="1"/>
    </font>
    <font>
      <i/>
      <sz val="10"/>
      <color rgb="FF000000"/>
      <name val="Cambria"/>
      <family val="1"/>
    </font>
    <font>
      <i/>
      <sz val="11"/>
      <name val="Cambria"/>
      <family val="1"/>
    </font>
    <font>
      <i/>
      <sz val="11"/>
      <color rgb="FF000000"/>
      <name val="Cambria"/>
      <family val="1"/>
    </font>
    <font>
      <b/>
      <sz val="11"/>
      <color rgb="FF000000"/>
      <name val="Cambria"/>
      <family val="1"/>
    </font>
    <font>
      <sz val="11"/>
      <name val="Verdana"/>
      <family val="2"/>
      <charset val="1"/>
    </font>
    <font>
      <sz val="11"/>
      <name val="Calibri"/>
      <family val="2"/>
      <charset val="1"/>
    </font>
    <font>
      <sz val="11"/>
      <color rgb="FF000000"/>
      <name val="Calibri"/>
      <family val="2"/>
      <charset val="1"/>
    </font>
    <font>
      <sz val="9"/>
      <color indexed="81"/>
      <name val="Segoe UI"/>
      <charset val="1"/>
    </font>
    <font>
      <b/>
      <sz val="9"/>
      <color indexed="81"/>
      <name val="Segoe UI"/>
      <charset val="1"/>
    </font>
    <font>
      <b/>
      <i/>
      <sz val="10"/>
      <name val="Arial"/>
      <family val="2"/>
    </font>
    <font>
      <sz val="8"/>
      <name val="Arial"/>
      <charset val="134"/>
    </font>
  </fonts>
  <fills count="14">
    <fill>
      <patternFill patternType="none"/>
    </fill>
    <fill>
      <patternFill patternType="gray125"/>
    </fill>
    <fill>
      <patternFill patternType="solid">
        <fgColor theme="4" tint="0.59999389629810485"/>
        <bgColor indexed="64"/>
      </patternFill>
    </fill>
    <fill>
      <patternFill patternType="solid">
        <fgColor theme="0" tint="-0.34998626667073579"/>
        <bgColor indexed="64"/>
      </patternFill>
    </fill>
    <fill>
      <patternFill patternType="solid">
        <fgColor indexed="22"/>
        <bgColor indexed="64"/>
      </patternFill>
    </fill>
    <fill>
      <patternFill patternType="solid">
        <fgColor indexed="22"/>
        <bgColor indexed="31"/>
      </patternFill>
    </fill>
    <fill>
      <patternFill patternType="solid">
        <fgColor theme="0"/>
        <bgColor indexed="64"/>
      </patternFill>
    </fill>
    <fill>
      <patternFill patternType="solid">
        <fgColor theme="0"/>
        <bgColor indexed="31"/>
      </patternFill>
    </fill>
    <fill>
      <patternFill patternType="solid">
        <fgColor theme="0" tint="-0.14996795556505021"/>
        <bgColor indexed="64"/>
      </patternFill>
    </fill>
    <fill>
      <patternFill patternType="solid">
        <fgColor theme="4" tint="0.79998168889431442"/>
        <bgColor rgb="FFE69138"/>
      </patternFill>
    </fill>
    <fill>
      <patternFill patternType="solid">
        <fgColor theme="4" tint="0.79998168889431442"/>
        <bgColor rgb="FFED7D31"/>
      </patternFill>
    </fill>
    <fill>
      <patternFill patternType="solid">
        <fgColor rgb="FFD9D9D9"/>
        <bgColor rgb="FFEFEFEF"/>
      </patternFill>
    </fill>
    <fill>
      <patternFill patternType="solid">
        <fgColor rgb="FF92D050"/>
        <bgColor indexed="64"/>
      </patternFill>
    </fill>
    <fill>
      <patternFill patternType="solid">
        <fgColor theme="0"/>
        <bgColor rgb="FFFFFF00"/>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medium">
        <color auto="1"/>
      </left>
      <right/>
      <top/>
      <bottom style="thin">
        <color auto="1"/>
      </bottom>
      <diagonal/>
    </border>
    <border>
      <left/>
      <right/>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3">
    <xf numFmtId="0" fontId="0" fillId="0" borderId="0"/>
    <xf numFmtId="9" fontId="3" fillId="0" borderId="0" applyFill="0" applyBorder="0" applyAlignment="0" applyProtection="0"/>
    <xf numFmtId="166" fontId="3" fillId="0" borderId="0" applyFill="0" applyBorder="0" applyAlignment="0" applyProtection="0"/>
  </cellStyleXfs>
  <cellXfs count="186">
    <xf numFmtId="0" fontId="0" fillId="0" borderId="0" xfId="0"/>
    <xf numFmtId="0" fontId="2" fillId="0" borderId="1" xfId="0" applyFont="1" applyBorder="1" applyAlignment="1">
      <alignment horizontal="center"/>
    </xf>
    <xf numFmtId="0" fontId="0" fillId="0" borderId="1" xfId="0" applyBorder="1" applyAlignment="1">
      <alignment horizontal="center"/>
    </xf>
    <xf numFmtId="166" fontId="0" fillId="0" borderId="1" xfId="2" applyFont="1" applyBorder="1"/>
    <xf numFmtId="166" fontId="0" fillId="0" borderId="1" xfId="0" applyNumberFormat="1" applyBorder="1"/>
    <xf numFmtId="0" fontId="0" fillId="0" borderId="1" xfId="0" applyBorder="1"/>
    <xf numFmtId="166" fontId="2" fillId="2" borderId="1" xfId="0" applyNumberFormat="1" applyFont="1" applyFill="1" applyBorder="1"/>
    <xf numFmtId="166" fontId="2" fillId="0" borderId="1" xfId="0" applyNumberFormat="1" applyFont="1" applyBorder="1"/>
    <xf numFmtId="0" fontId="2" fillId="0" borderId="1" xfId="0" applyFont="1" applyBorder="1"/>
    <xf numFmtId="0" fontId="0" fillId="0" borderId="0" xfId="0" applyAlignment="1">
      <alignment horizontal="left"/>
    </xf>
    <xf numFmtId="0" fontId="0" fillId="0" borderId="0" xfId="0" applyAlignment="1">
      <alignment horizontal="center"/>
    </xf>
    <xf numFmtId="0" fontId="2" fillId="0" borderId="0" xfId="0" applyFont="1" applyAlignment="1">
      <alignment horizontal="center"/>
    </xf>
    <xf numFmtId="10" fontId="0" fillId="6" borderId="1" xfId="0" applyNumberFormat="1" applyFill="1" applyBorder="1" applyAlignment="1">
      <alignment horizontal="center"/>
    </xf>
    <xf numFmtId="10" fontId="2" fillId="0" borderId="1" xfId="0" applyNumberFormat="1" applyFont="1" applyBorder="1" applyAlignment="1">
      <alignment horizontal="center"/>
    </xf>
    <xf numFmtId="0" fontId="2" fillId="7" borderId="1" xfId="0" applyFont="1" applyFill="1" applyBorder="1" applyAlignment="1">
      <alignment horizontal="center"/>
    </xf>
    <xf numFmtId="2" fontId="2" fillId="0" borderId="1" xfId="0" applyNumberFormat="1" applyFont="1" applyBorder="1"/>
    <xf numFmtId="2" fontId="2" fillId="0" borderId="0" xfId="0" applyNumberFormat="1" applyFont="1"/>
    <xf numFmtId="0" fontId="2" fillId="0" borderId="0" xfId="0" applyFont="1"/>
    <xf numFmtId="2" fontId="0" fillId="0" borderId="1" xfId="0" applyNumberFormat="1" applyBorder="1" applyAlignment="1">
      <alignment horizontal="right"/>
    </xf>
    <xf numFmtId="2" fontId="0" fillId="0" borderId="1" xfId="0" applyNumberFormat="1" applyBorder="1"/>
    <xf numFmtId="10" fontId="0" fillId="0" borderId="1" xfId="0" applyNumberFormat="1" applyBorder="1" applyAlignment="1">
      <alignment horizontal="center"/>
    </xf>
    <xf numFmtId="2" fontId="0" fillId="0" borderId="1" xfId="0" applyNumberFormat="1" applyBorder="1" applyAlignment="1">
      <alignment horizontal="center"/>
    </xf>
    <xf numFmtId="166" fontId="2" fillId="0" borderId="0" xfId="2" applyFont="1"/>
    <xf numFmtId="10" fontId="3" fillId="0" borderId="1" xfId="1" applyNumberFormat="1" applyBorder="1" applyAlignment="1">
      <alignment horizontal="center"/>
    </xf>
    <xf numFmtId="10" fontId="3" fillId="0" borderId="1" xfId="1" applyNumberFormat="1" applyFill="1" applyBorder="1" applyAlignment="1">
      <alignment horizontal="center"/>
    </xf>
    <xf numFmtId="9" fontId="0" fillId="0" borderId="1" xfId="0" applyNumberFormat="1" applyBorder="1"/>
    <xf numFmtId="10" fontId="0" fillId="0" borderId="1" xfId="0" applyNumberFormat="1" applyBorder="1"/>
    <xf numFmtId="10" fontId="3" fillId="0" borderId="1" xfId="1" applyNumberFormat="1" applyBorder="1" applyAlignment="1"/>
    <xf numFmtId="167" fontId="3" fillId="0" borderId="1" xfId="1" applyNumberFormat="1" applyBorder="1" applyAlignment="1"/>
    <xf numFmtId="9" fontId="3" fillId="0" borderId="1" xfId="1" applyBorder="1" applyAlignment="1"/>
    <xf numFmtId="2" fontId="0" fillId="0" borderId="0" xfId="0" applyNumberFormat="1"/>
    <xf numFmtId="43" fontId="0" fillId="0" borderId="0" xfId="0" applyNumberFormat="1"/>
    <xf numFmtId="0" fontId="2" fillId="0" borderId="1" xfId="0" applyFont="1" applyBorder="1" applyAlignment="1">
      <alignment horizontal="center" wrapText="1"/>
    </xf>
    <xf numFmtId="0" fontId="0" fillId="0" borderId="1" xfId="0" applyBorder="1" applyAlignment="1">
      <alignment horizontal="center" vertical="center"/>
    </xf>
    <xf numFmtId="168" fontId="0" fillId="0" borderId="1" xfId="0" applyNumberFormat="1" applyBorder="1" applyAlignment="1">
      <alignment horizontal="center" vertical="center"/>
    </xf>
    <xf numFmtId="0" fontId="3" fillId="0" borderId="1" xfId="0" applyFont="1" applyBorder="1"/>
    <xf numFmtId="0" fontId="0" fillId="0" borderId="0" xfId="0" applyAlignment="1">
      <alignment horizontal="left" vertical="top" wrapText="1"/>
    </xf>
    <xf numFmtId="0" fontId="0" fillId="0" borderId="0" xfId="0" applyAlignment="1">
      <alignment horizontal="left" vertical="top"/>
    </xf>
    <xf numFmtId="10" fontId="0" fillId="0" borderId="0" xfId="0" applyNumberForma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0" fontId="3" fillId="6" borderId="1" xfId="0" applyNumberFormat="1" applyFont="1" applyFill="1" applyBorder="1" applyAlignment="1">
      <alignment horizontal="center"/>
    </xf>
    <xf numFmtId="2" fontId="3" fillId="0" borderId="1" xfId="0" applyNumberFormat="1" applyFont="1" applyBorder="1"/>
    <xf numFmtId="169" fontId="0" fillId="0" borderId="0" xfId="0" applyNumberFormat="1"/>
    <xf numFmtId="168" fontId="0" fillId="0" borderId="0" xfId="0" applyNumberFormat="1" applyAlignment="1">
      <alignment horizontal="center"/>
    </xf>
    <xf numFmtId="164" fontId="2" fillId="0" borderId="1" xfId="0" applyNumberFormat="1" applyFont="1" applyBorder="1"/>
    <xf numFmtId="164" fontId="2" fillId="0" borderId="1" xfId="0" applyNumberFormat="1" applyFont="1" applyBorder="1" applyAlignment="1">
      <alignment horizontal="center"/>
    </xf>
    <xf numFmtId="0" fontId="6" fillId="0" borderId="0" xfId="0" applyFont="1" applyAlignment="1">
      <alignment vertical="center"/>
    </xf>
    <xf numFmtId="0" fontId="7" fillId="9"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xf>
    <xf numFmtId="3" fontId="6" fillId="0" borderId="0" xfId="0" applyNumberFormat="1" applyFont="1" applyAlignment="1">
      <alignment horizontal="center"/>
    </xf>
    <xf numFmtId="0" fontId="10" fillId="9" borderId="1" xfId="0" applyFont="1" applyFill="1" applyBorder="1" applyAlignment="1">
      <alignment horizontal="center" vertical="center" wrapText="1"/>
    </xf>
    <xf numFmtId="0" fontId="11" fillId="0" borderId="1" xfId="0" applyFont="1" applyBorder="1" applyAlignment="1">
      <alignment horizontal="center" vertical="center"/>
    </xf>
    <xf numFmtId="4" fontId="8" fillId="0" borderId="1" xfId="0" applyNumberFormat="1" applyFont="1" applyBorder="1" applyAlignment="1" applyProtection="1">
      <alignment horizontal="right" vertical="center"/>
      <protection locked="0"/>
    </xf>
    <xf numFmtId="0" fontId="12" fillId="0" borderId="1" xfId="0" applyFont="1" applyBorder="1" applyAlignment="1">
      <alignment horizontal="center" vertical="center"/>
    </xf>
    <xf numFmtId="10" fontId="9" fillId="0" borderId="1" xfId="0" applyNumberFormat="1" applyFont="1" applyBorder="1" applyAlignment="1" applyProtection="1">
      <alignment horizontal="right" vertical="center"/>
      <protection locked="0"/>
    </xf>
    <xf numFmtId="4" fontId="12" fillId="0" borderId="1" xfId="0" applyNumberFormat="1" applyFont="1" applyBorder="1" applyAlignment="1">
      <alignment horizontal="right" vertical="center"/>
    </xf>
    <xf numFmtId="10" fontId="14" fillId="0" borderId="1" xfId="0" applyNumberFormat="1" applyFont="1" applyBorder="1" applyAlignment="1" applyProtection="1">
      <alignment horizontal="right" vertical="center"/>
      <protection locked="0"/>
    </xf>
    <xf numFmtId="4" fontId="15" fillId="0" borderId="1" xfId="0" applyNumberFormat="1" applyFont="1" applyBorder="1" applyAlignment="1">
      <alignment horizontal="right" vertical="center"/>
    </xf>
    <xf numFmtId="10" fontId="12" fillId="0" borderId="1" xfId="0" applyNumberFormat="1" applyFont="1" applyBorder="1" applyAlignment="1">
      <alignment horizontal="right" vertical="center"/>
    </xf>
    <xf numFmtId="10" fontId="16" fillId="11" borderId="1" xfId="0" applyNumberFormat="1" applyFont="1" applyFill="1" applyBorder="1" applyAlignment="1">
      <alignment horizontal="right" vertical="center"/>
    </xf>
    <xf numFmtId="4" fontId="16" fillId="11" borderId="1" xfId="0" applyNumberFormat="1" applyFont="1" applyFill="1" applyBorder="1" applyAlignment="1">
      <alignment horizontal="right" vertical="center"/>
    </xf>
    <xf numFmtId="0" fontId="7" fillId="9" borderId="5" xfId="0" applyFont="1" applyFill="1" applyBorder="1" applyAlignment="1">
      <alignment horizontal="center" vertical="center" wrapText="1"/>
    </xf>
    <xf numFmtId="0" fontId="6" fillId="11" borderId="1" xfId="0" applyFont="1" applyFill="1" applyBorder="1" applyAlignment="1">
      <alignment horizontal="center" vertical="center"/>
    </xf>
    <xf numFmtId="4" fontId="6" fillId="11" borderId="1" xfId="0" applyNumberFormat="1" applyFont="1" applyFill="1" applyBorder="1" applyAlignment="1">
      <alignment horizontal="center"/>
    </xf>
    <xf numFmtId="4" fontId="6" fillId="11" borderId="1" xfId="0" applyNumberFormat="1" applyFont="1" applyFill="1" applyBorder="1" applyAlignment="1">
      <alignment horizontal="center" vertical="center"/>
    </xf>
    <xf numFmtId="0" fontId="6" fillId="11" borderId="1" xfId="0" applyFont="1" applyFill="1" applyBorder="1" applyAlignment="1">
      <alignment horizontal="center"/>
    </xf>
    <xf numFmtId="0" fontId="17" fillId="0" borderId="0" xfId="0" applyFont="1" applyAlignment="1">
      <alignment vertical="center"/>
    </xf>
    <xf numFmtId="0" fontId="17" fillId="0" borderId="0" xfId="0" applyFont="1" applyAlignment="1" applyProtection="1">
      <alignment vertical="center"/>
      <protection locked="0"/>
    </xf>
    <xf numFmtId="0" fontId="18" fillId="0" borderId="0" xfId="0" applyFont="1" applyAlignment="1" applyProtection="1">
      <alignment vertical="center"/>
      <protection locked="0"/>
    </xf>
    <xf numFmtId="0" fontId="0" fillId="0" borderId="0" xfId="0" applyProtection="1">
      <protection locked="0"/>
    </xf>
    <xf numFmtId="0" fontId="2" fillId="0" borderId="17" xfId="0" applyFont="1" applyBorder="1" applyAlignment="1">
      <alignment horizontal="center" vertical="center"/>
    </xf>
    <xf numFmtId="0" fontId="2" fillId="12" borderId="17" xfId="0" applyFont="1" applyFill="1" applyBorder="1"/>
    <xf numFmtId="168" fontId="0" fillId="12" borderId="1" xfId="0" applyNumberFormat="1" applyFill="1" applyBorder="1" applyAlignment="1">
      <alignment horizontal="center" vertical="center"/>
    </xf>
    <xf numFmtId="168" fontId="2" fillId="12" borderId="1" xfId="0" applyNumberFormat="1" applyFont="1" applyFill="1" applyBorder="1" applyAlignment="1">
      <alignment horizontal="center" vertical="center"/>
    </xf>
    <xf numFmtId="0" fontId="0" fillId="6" borderId="1" xfId="0" applyFill="1" applyBorder="1" applyAlignment="1">
      <alignment horizontal="center"/>
    </xf>
    <xf numFmtId="0" fontId="0" fillId="6" borderId="0" xfId="0" applyFill="1"/>
    <xf numFmtId="2" fontId="0" fillId="6" borderId="1" xfId="0" applyNumberFormat="1" applyFill="1" applyBorder="1"/>
    <xf numFmtId="0" fontId="2" fillId="6" borderId="1" xfId="0" applyFont="1" applyFill="1" applyBorder="1" applyAlignment="1">
      <alignment horizontal="center"/>
    </xf>
    <xf numFmtId="2" fontId="0" fillId="6" borderId="1" xfId="0" applyNumberFormat="1" applyFill="1" applyBorder="1" applyAlignment="1">
      <alignment horizontal="right"/>
    </xf>
    <xf numFmtId="0" fontId="2" fillId="0" borderId="0" xfId="0" applyFont="1" applyAlignment="1">
      <alignment horizontal="left"/>
    </xf>
    <xf numFmtId="166" fontId="2" fillId="2" borderId="0" xfId="0" applyNumberFormat="1" applyFont="1" applyFill="1"/>
    <xf numFmtId="166" fontId="2" fillId="0" borderId="0" xfId="0" applyNumberFormat="1" applyFont="1"/>
    <xf numFmtId="0" fontId="3" fillId="6" borderId="1" xfId="0" applyFont="1" applyFill="1" applyBorder="1"/>
    <xf numFmtId="4" fontId="3" fillId="6" borderId="1" xfId="0" applyNumberFormat="1" applyFont="1" applyFill="1" applyBorder="1" applyAlignment="1">
      <alignment horizontal="center"/>
    </xf>
    <xf numFmtId="164" fontId="3" fillId="6" borderId="1" xfId="0" applyNumberFormat="1" applyFont="1" applyFill="1" applyBorder="1"/>
    <xf numFmtId="168" fontId="0" fillId="6" borderId="1" xfId="0" applyNumberFormat="1" applyFill="1" applyBorder="1" applyAlignment="1">
      <alignment horizontal="center" vertical="center"/>
    </xf>
    <xf numFmtId="0" fontId="2" fillId="0" borderId="2" xfId="0" applyFont="1" applyBorder="1" applyAlignment="1">
      <alignment horizontal="center"/>
    </xf>
    <xf numFmtId="10" fontId="2" fillId="0" borderId="3" xfId="1" applyNumberFormat="1" applyFont="1" applyBorder="1" applyAlignment="1"/>
    <xf numFmtId="2" fontId="2" fillId="0" borderId="4" xfId="0" applyNumberFormat="1" applyFont="1" applyBorder="1"/>
    <xf numFmtId="0" fontId="2" fillId="0" borderId="13" xfId="0" applyFont="1" applyBorder="1" applyAlignment="1">
      <alignment horizontal="center"/>
    </xf>
    <xf numFmtId="10" fontId="2" fillId="0" borderId="0" xfId="1" applyNumberFormat="1" applyFont="1" applyBorder="1" applyAlignment="1"/>
    <xf numFmtId="2" fontId="2" fillId="0" borderId="15" xfId="0" applyNumberFormat="1" applyFont="1" applyBorder="1"/>
    <xf numFmtId="0" fontId="3" fillId="0" borderId="13" xfId="0" applyFont="1" applyBorder="1"/>
    <xf numFmtId="0" fontId="2" fillId="0" borderId="14" xfId="0" applyFont="1" applyBorder="1" applyAlignment="1">
      <alignment horizontal="center"/>
    </xf>
    <xf numFmtId="10" fontId="2" fillId="0" borderId="12" xfId="1" applyNumberFormat="1" applyFont="1" applyBorder="1" applyAlignment="1"/>
    <xf numFmtId="2" fontId="2" fillId="0" borderId="16" xfId="0" applyNumberFormat="1" applyFont="1" applyBorder="1"/>
    <xf numFmtId="0" fontId="2" fillId="12" borderId="5" xfId="0" applyFont="1" applyFill="1" applyBorder="1" applyAlignment="1">
      <alignment horizontal="center"/>
    </xf>
    <xf numFmtId="0" fontId="2" fillId="12" borderId="8" xfId="0" applyFont="1" applyFill="1" applyBorder="1" applyAlignment="1">
      <alignment horizontal="center"/>
    </xf>
    <xf numFmtId="0" fontId="2" fillId="12" borderId="6" xfId="0" applyFont="1" applyFill="1" applyBorder="1" applyAlignment="1">
      <alignment horizontal="center"/>
    </xf>
    <xf numFmtId="168" fontId="22" fillId="12" borderId="0" xfId="0" applyNumberFormat="1" applyFont="1" applyFill="1" applyAlignment="1">
      <alignment horizontal="center" vertical="center"/>
    </xf>
    <xf numFmtId="0" fontId="2" fillId="4" borderId="1" xfId="0" applyFont="1" applyFill="1" applyBorder="1" applyAlignment="1">
      <alignment horizontal="center"/>
    </xf>
    <xf numFmtId="0" fontId="0" fillId="0" borderId="1" xfId="0" applyBorder="1" applyAlignment="1">
      <alignment horizontal="left"/>
    </xf>
    <xf numFmtId="0" fontId="3" fillId="0" borderId="1" xfId="0" applyFont="1" applyBorder="1" applyAlignment="1">
      <alignment horizontal="center"/>
    </xf>
    <xf numFmtId="0" fontId="0" fillId="0" borderId="1" xfId="0" applyBorder="1" applyAlignment="1">
      <alignment horizontal="center"/>
    </xf>
    <xf numFmtId="0" fontId="0" fillId="6" borderId="1" xfId="0" applyFill="1" applyBorder="1" applyAlignment="1">
      <alignment horizontal="center"/>
    </xf>
    <xf numFmtId="0" fontId="0" fillId="0" borderId="0" xfId="0" applyAlignment="1">
      <alignment horizontal="center"/>
    </xf>
    <xf numFmtId="0" fontId="2" fillId="0" borderId="0" xfId="0" applyFont="1" applyAlignment="1">
      <alignment horizontal="center"/>
    </xf>
    <xf numFmtId="14" fontId="0" fillId="0" borderId="1" xfId="0" applyNumberFormat="1" applyBorder="1" applyAlignment="1">
      <alignment horizontal="center"/>
    </xf>
    <xf numFmtId="0" fontId="3" fillId="6" borderId="1" xfId="0" applyFont="1" applyFill="1" applyBorder="1" applyAlignment="1">
      <alignment horizontal="center"/>
    </xf>
    <xf numFmtId="165" fontId="0" fillId="0" borderId="1" xfId="0" applyNumberFormat="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2" fillId="7" borderId="7" xfId="0" applyFont="1" applyFill="1" applyBorder="1" applyAlignment="1">
      <alignment horizontal="center"/>
    </xf>
    <xf numFmtId="0" fontId="2" fillId="7" borderId="0" xfId="0" applyFont="1" applyFill="1" applyAlignment="1">
      <alignment horizontal="center"/>
    </xf>
    <xf numFmtId="0" fontId="2" fillId="7" borderId="1" xfId="0" applyFont="1" applyFill="1" applyBorder="1" applyAlignment="1">
      <alignment horizontal="center"/>
    </xf>
    <xf numFmtId="0" fontId="2" fillId="7" borderId="5" xfId="0" applyFont="1" applyFill="1" applyBorder="1" applyAlignment="1">
      <alignment horizontal="center"/>
    </xf>
    <xf numFmtId="0" fontId="3" fillId="6" borderId="1" xfId="0" applyFont="1" applyFill="1" applyBorder="1"/>
    <xf numFmtId="0" fontId="0" fillId="6" borderId="1" xfId="0" applyFill="1" applyBorder="1"/>
    <xf numFmtId="0" fontId="3" fillId="0" borderId="1" xfId="0" applyFont="1" applyBorder="1"/>
    <xf numFmtId="0" fontId="0" fillId="0" borderId="1" xfId="0" applyBorder="1"/>
    <xf numFmtId="0" fontId="3" fillId="6" borderId="5" xfId="0" applyFont="1" applyFill="1" applyBorder="1" applyAlignment="1">
      <alignment horizontal="left"/>
    </xf>
    <xf numFmtId="0" fontId="0" fillId="6" borderId="8" xfId="0" applyFill="1" applyBorder="1" applyAlignment="1">
      <alignment horizontal="left"/>
    </xf>
    <xf numFmtId="0" fontId="0" fillId="6" borderId="6" xfId="0" applyFill="1" applyBorder="1" applyAlignment="1">
      <alignment horizontal="left"/>
    </xf>
    <xf numFmtId="0" fontId="2" fillId="7" borderId="9" xfId="0" applyFont="1" applyFill="1" applyBorder="1" applyAlignment="1">
      <alignment horizontal="center"/>
    </xf>
    <xf numFmtId="0" fontId="2" fillId="7" borderId="3" xfId="0" applyFont="1" applyFill="1" applyBorder="1" applyAlignment="1">
      <alignment horizontal="center"/>
    </xf>
    <xf numFmtId="0" fontId="3" fillId="0" borderId="1" xfId="0" applyFont="1" applyBorder="1" applyAlignment="1">
      <alignment horizontal="left"/>
    </xf>
    <xf numFmtId="0" fontId="2" fillId="8" borderId="1" xfId="0" applyFont="1" applyFill="1" applyBorder="1" applyAlignment="1">
      <alignment horizontal="center"/>
    </xf>
    <xf numFmtId="0" fontId="2" fillId="0" borderId="5" xfId="0" applyFont="1" applyBorder="1" applyAlignment="1">
      <alignment horizontal="center"/>
    </xf>
    <xf numFmtId="0" fontId="2" fillId="0" borderId="8" xfId="0" applyFont="1" applyBorder="1" applyAlignment="1">
      <alignment horizontal="center"/>
    </xf>
    <xf numFmtId="0" fontId="0" fillId="6" borderId="1" xfId="0" applyFill="1" applyBorder="1" applyAlignment="1">
      <alignment horizontal="left"/>
    </xf>
    <xf numFmtId="0" fontId="2" fillId="7" borderId="10" xfId="0" applyFont="1" applyFill="1" applyBorder="1" applyAlignment="1">
      <alignment horizontal="center"/>
    </xf>
    <xf numFmtId="0" fontId="2" fillId="7" borderId="8" xfId="0" applyFont="1" applyFill="1" applyBorder="1" applyAlignment="1">
      <alignment horizontal="center"/>
    </xf>
    <xf numFmtId="0" fontId="2" fillId="7" borderId="11" xfId="0" applyFont="1" applyFill="1" applyBorder="1" applyAlignment="1">
      <alignment horizontal="center"/>
    </xf>
    <xf numFmtId="0" fontId="2" fillId="7" borderId="12" xfId="0" applyFont="1" applyFill="1" applyBorder="1" applyAlignment="1">
      <alignment horizontal="center"/>
    </xf>
    <xf numFmtId="0" fontId="0" fillId="0" borderId="0" xfId="0" applyAlignment="1">
      <alignment horizontal="left"/>
    </xf>
    <xf numFmtId="0" fontId="2" fillId="0" borderId="1" xfId="0" applyFont="1" applyBorder="1" applyAlignment="1">
      <alignment horizontal="left"/>
    </xf>
    <xf numFmtId="0" fontId="0" fillId="0" borderId="5"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2" fillId="0" borderId="0" xfId="0" applyFont="1" applyAlignment="1">
      <alignment vertical="top" wrapText="1"/>
    </xf>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wrapText="1"/>
    </xf>
    <xf numFmtId="0" fontId="2" fillId="0" borderId="0" xfId="0" applyFont="1" applyAlignment="1">
      <alignment horizontal="left"/>
    </xf>
    <xf numFmtId="168" fontId="2" fillId="0" borderId="1" xfId="0" applyNumberFormat="1" applyFont="1" applyBorder="1" applyAlignment="1">
      <alignment horizontal="center"/>
    </xf>
    <xf numFmtId="0" fontId="2" fillId="0" borderId="12" xfId="0" applyFont="1" applyBorder="1" applyAlignment="1">
      <alignment horizontal="left"/>
    </xf>
    <xf numFmtId="0" fontId="2" fillId="0" borderId="3" xfId="0" applyFont="1" applyBorder="1" applyAlignment="1">
      <alignment horizontal="left"/>
    </xf>
    <xf numFmtId="0" fontId="2" fillId="0" borderId="1" xfId="0" applyFont="1" applyBorder="1" applyAlignment="1">
      <alignment horizontal="center" wrapText="1"/>
    </xf>
    <xf numFmtId="0" fontId="2" fillId="3" borderId="5" xfId="0" applyFont="1" applyFill="1" applyBorder="1" applyAlignment="1">
      <alignment horizontal="center"/>
    </xf>
    <xf numFmtId="0" fontId="2" fillId="3" borderId="6" xfId="0" applyFont="1" applyFill="1" applyBorder="1" applyAlignment="1">
      <alignment horizontal="center"/>
    </xf>
    <xf numFmtId="0" fontId="5" fillId="0" borderId="1" xfId="0" applyFont="1" applyBorder="1" applyAlignment="1">
      <alignment vertical="center"/>
    </xf>
    <xf numFmtId="0" fontId="5" fillId="9" borderId="5" xfId="0" applyFont="1" applyFill="1" applyBorder="1" applyAlignment="1">
      <alignment horizontal="center" vertical="center" wrapText="1"/>
    </xf>
    <xf numFmtId="0" fontId="5" fillId="9" borderId="8" xfId="0" applyFont="1" applyFill="1" applyBorder="1" applyAlignment="1">
      <alignment horizontal="center" vertical="center" wrapText="1"/>
    </xf>
    <xf numFmtId="0" fontId="5" fillId="9" borderId="6"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13" borderId="5" xfId="0" applyFont="1" applyFill="1" applyBorder="1" applyAlignment="1" applyProtection="1">
      <alignment horizontal="center" vertical="center"/>
      <protection locked="0"/>
    </xf>
    <xf numFmtId="0" fontId="6" fillId="13" borderId="6" xfId="0" applyFont="1" applyFill="1" applyBorder="1" applyAlignment="1" applyProtection="1">
      <alignment horizontal="center" vertical="center"/>
      <protection locked="0"/>
    </xf>
    <xf numFmtId="0" fontId="6" fillId="0" borderId="5" xfId="0" applyFont="1" applyBorder="1" applyAlignment="1">
      <alignment horizontal="center" wrapText="1"/>
    </xf>
    <xf numFmtId="0" fontId="6" fillId="0" borderId="8" xfId="0" applyFont="1" applyBorder="1" applyAlignment="1">
      <alignment horizontal="center" wrapText="1"/>
    </xf>
    <xf numFmtId="0" fontId="6" fillId="0" borderId="6" xfId="0" applyFont="1" applyBorder="1" applyAlignment="1">
      <alignment horizontal="center" wrapText="1"/>
    </xf>
    <xf numFmtId="0" fontId="9" fillId="10" borderId="5" xfId="0" applyFont="1" applyFill="1" applyBorder="1" applyAlignment="1">
      <alignment horizontal="center" vertical="center"/>
    </xf>
    <xf numFmtId="0" fontId="9" fillId="10" borderId="8" xfId="0" applyFont="1" applyFill="1" applyBorder="1" applyAlignment="1">
      <alignment horizontal="center" vertical="center"/>
    </xf>
    <xf numFmtId="0" fontId="9" fillId="10" borderId="6" xfId="0" applyFont="1" applyFill="1" applyBorder="1" applyAlignment="1">
      <alignment horizontal="center" vertical="center"/>
    </xf>
    <xf numFmtId="0" fontId="10" fillId="9" borderId="5"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10" fillId="9" borderId="6" xfId="0" applyFont="1" applyFill="1" applyBorder="1" applyAlignment="1">
      <alignment horizontal="center" vertical="center" wrapText="1"/>
    </xf>
    <xf numFmtId="0" fontId="11" fillId="0" borderId="1" xfId="0" applyFont="1" applyBorder="1" applyAlignment="1">
      <alignment vertical="center"/>
    </xf>
    <xf numFmtId="0" fontId="6" fillId="11" borderId="5" xfId="0" applyFont="1" applyFill="1" applyBorder="1" applyAlignment="1">
      <alignment horizontal="center" vertical="center" wrapText="1"/>
    </xf>
    <xf numFmtId="0" fontId="6" fillId="11" borderId="5" xfId="0" applyFont="1" applyFill="1" applyBorder="1" applyAlignment="1">
      <alignment horizontal="center" wrapText="1"/>
    </xf>
    <xf numFmtId="0" fontId="12" fillId="11" borderId="1" xfId="0" applyFont="1" applyFill="1" applyBorder="1" applyAlignment="1">
      <alignment horizontal="right" vertical="center"/>
    </xf>
    <xf numFmtId="0" fontId="13" fillId="0" borderId="1" xfId="0" applyFont="1" applyBorder="1" applyAlignment="1">
      <alignment vertical="center"/>
    </xf>
    <xf numFmtId="0" fontId="13" fillId="0" borderId="18" xfId="0" applyFont="1" applyBorder="1" applyAlignment="1">
      <alignment vertical="center"/>
    </xf>
    <xf numFmtId="0" fontId="12" fillId="0" borderId="1" xfId="0" applyFont="1" applyBorder="1" applyAlignment="1">
      <alignment horizontal="right" vertical="center"/>
    </xf>
    <xf numFmtId="0" fontId="9" fillId="10" borderId="1" xfId="0" applyFont="1" applyFill="1" applyBorder="1" applyAlignment="1">
      <alignment horizontal="center" vertical="center"/>
    </xf>
    <xf numFmtId="0" fontId="12" fillId="11" borderId="3" xfId="0" applyFont="1" applyFill="1" applyBorder="1" applyAlignment="1">
      <alignment horizontal="left" vertical="top" wrapText="1"/>
    </xf>
    <xf numFmtId="0" fontId="12" fillId="11" borderId="3" xfId="0" applyFont="1" applyFill="1" applyBorder="1" applyAlignment="1">
      <alignment horizontal="left" vertical="top"/>
    </xf>
    <xf numFmtId="0" fontId="1" fillId="2" borderId="0" xfId="0" applyFont="1" applyFill="1" applyAlignment="1">
      <alignment horizontal="center"/>
    </xf>
    <xf numFmtId="0" fontId="2" fillId="2" borderId="1" xfId="0" applyFont="1" applyFill="1" applyBorder="1" applyAlignment="1">
      <alignment horizontal="center"/>
    </xf>
  </cellXfs>
  <cellStyles count="3">
    <cellStyle name="Moeda" xfId="2" builtinId="4"/>
    <cellStyle name="Normal" xfId="0" builtinId="0"/>
    <cellStyle name="Porcentagem"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124332/AppData/Local/Temp/Temp1_PR%2056.2021-%20TERCEIRIZACAO%20-%20MOTORISTAS.zip/Planilha_motorista_IN_05_ajustada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Motorista B 44h Diurno"/>
      <sheetName val="2-Motorista B 44h Diurno RB"/>
      <sheetName val="3-Motorista B 20% Insalub"/>
      <sheetName val="4-Motorista D 44h Diurno"/>
      <sheetName val="5-Motorista D 44h Diurno Inter"/>
      <sheetName val="6-Motorista D 44h Diurno 12x36"/>
      <sheetName val="7-Motorista D 44h Diurno RB"/>
      <sheetName val="8-Motorista D Diurno RB 12x36"/>
      <sheetName val="9-Motoris.Ambulan 24x96"/>
      <sheetName val="10-Motoris. D Ônibus 44h"/>
      <sheetName val="11-Motoris. D Ônibus 44h Interi"/>
      <sheetName val="12-Motoris. D Plant Eletrico D"/>
      <sheetName val="13-Motoris. D Plant Eletrico N"/>
      <sheetName val="14-Motorist. D Caminhão 44h"/>
      <sheetName val="15-Motorist. D caminhão 20% ins"/>
      <sheetName val="16-Motorist. D caminhão Munk"/>
      <sheetName val="Diárias"/>
      <sheetName val="Insumos"/>
      <sheetName val="Cadastro de Dados"/>
      <sheetName val="Resum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86">
          <cell r="C86">
            <v>7.5999999999999998E-2</v>
          </cell>
        </row>
        <row r="90">
          <cell r="C90">
            <v>0.05</v>
          </cell>
        </row>
      </sheetData>
      <sheetData sheetId="19"/>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
  <sheetViews>
    <sheetView tabSelected="1" view="pageBreakPreview" zoomScale="120" zoomScaleNormal="100" zoomScaleSheetLayoutView="120" workbookViewId="0">
      <selection activeCell="F3" sqref="F3"/>
    </sheetView>
  </sheetViews>
  <sheetFormatPr defaultRowHeight="13.2"/>
  <cols>
    <col min="2" max="2" width="22.88671875" customWidth="1"/>
    <col min="3" max="3" width="20.5546875" customWidth="1"/>
    <col min="4" max="4" width="10.6640625" customWidth="1"/>
    <col min="5" max="5" width="14.6640625" customWidth="1"/>
    <col min="6" max="6" width="16.44140625" customWidth="1"/>
    <col min="9" max="9" width="14.109375" bestFit="1" customWidth="1"/>
  </cols>
  <sheetData>
    <row r="1" spans="1:9" ht="17.25" customHeight="1">
      <c r="A1" s="102" t="s">
        <v>231</v>
      </c>
      <c r="B1" s="102"/>
      <c r="C1" s="102"/>
      <c r="D1" s="102"/>
      <c r="E1" s="102"/>
      <c r="F1" s="102"/>
    </row>
    <row r="2" spans="1:9">
      <c r="A2" s="73" t="s">
        <v>0</v>
      </c>
      <c r="B2" s="73" t="s">
        <v>1</v>
      </c>
      <c r="C2" s="73" t="s">
        <v>2</v>
      </c>
      <c r="D2" s="73" t="s">
        <v>3</v>
      </c>
      <c r="E2" s="73" t="s">
        <v>4</v>
      </c>
      <c r="F2" s="74" t="s">
        <v>236</v>
      </c>
    </row>
    <row r="3" spans="1:9" ht="42" customHeight="1">
      <c r="A3" s="33">
        <v>1</v>
      </c>
      <c r="B3" s="40" t="s">
        <v>5</v>
      </c>
      <c r="C3" s="39" t="s">
        <v>6</v>
      </c>
      <c r="D3" s="33">
        <v>12</v>
      </c>
      <c r="E3" s="34">
        <f>Motorista!I130</f>
        <v>6993.74</v>
      </c>
      <c r="F3" s="75">
        <f>D3*E3</f>
        <v>83924.88</v>
      </c>
      <c r="I3" s="43"/>
    </row>
    <row r="4" spans="1:9" ht="32.25" customHeight="1">
      <c r="A4" s="33">
        <v>2</v>
      </c>
      <c r="B4" s="40" t="s">
        <v>7</v>
      </c>
      <c r="C4" s="39" t="s">
        <v>8</v>
      </c>
      <c r="D4" s="33">
        <f>6*12</f>
        <v>72</v>
      </c>
      <c r="E4" s="88">
        <f>Motorista!E155</f>
        <v>328.19</v>
      </c>
      <c r="F4" s="75">
        <f>D4*E4</f>
        <v>23629.68</v>
      </c>
      <c r="I4" s="43"/>
    </row>
    <row r="5" spans="1:9" ht="29.25" customHeight="1">
      <c r="A5" s="33">
        <v>3</v>
      </c>
      <c r="B5" s="40" t="s">
        <v>9</v>
      </c>
      <c r="C5" s="39" t="s">
        <v>8</v>
      </c>
      <c r="D5" s="33">
        <f>11*12</f>
        <v>132</v>
      </c>
      <c r="E5" s="88">
        <f>Motorista!E156</f>
        <v>183.38</v>
      </c>
      <c r="F5" s="75">
        <f>D5*E5</f>
        <v>24206.16</v>
      </c>
      <c r="I5" s="43"/>
    </row>
    <row r="6" spans="1:9">
      <c r="A6" s="99" t="s">
        <v>236</v>
      </c>
      <c r="B6" s="100"/>
      <c r="C6" s="100"/>
      <c r="D6" s="100"/>
      <c r="E6" s="101"/>
      <c r="F6" s="76">
        <f>SUM(F3:F5)</f>
        <v>131760.72</v>
      </c>
      <c r="I6" s="43"/>
    </row>
    <row r="7" spans="1:9">
      <c r="A7" s="99" t="s">
        <v>10</v>
      </c>
      <c r="B7" s="100"/>
      <c r="C7" s="100"/>
      <c r="D7" s="100"/>
      <c r="E7" s="101"/>
      <c r="F7" s="76">
        <f>F6/12</f>
        <v>10980.06</v>
      </c>
    </row>
  </sheetData>
  <mergeCells count="3">
    <mergeCell ref="A6:E6"/>
    <mergeCell ref="A7:E7"/>
    <mergeCell ref="A1:F1"/>
  </mergeCells>
  <pageMargins left="0.511811024" right="0.511811024" top="0.78740157499999996" bottom="0.78740157499999996" header="0.31496062000000002" footer="0.31496062000000002"/>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pageSetUpPr fitToPage="1"/>
  </sheetPr>
  <dimension ref="A1:K174"/>
  <sheetViews>
    <sheetView view="pageBreakPreview" topLeftCell="A153" zoomScaleNormal="100" zoomScaleSheetLayoutView="100" workbookViewId="0">
      <selection activeCell="A157" sqref="A157:E157"/>
    </sheetView>
  </sheetViews>
  <sheetFormatPr defaultColWidth="9.109375" defaultRowHeight="13.2"/>
  <cols>
    <col min="1" max="1" width="10" customWidth="1"/>
    <col min="2" max="2" width="11.44140625" customWidth="1"/>
    <col min="3" max="3" width="15" customWidth="1"/>
    <col min="4" max="4" width="14.109375" customWidth="1"/>
    <col min="5" max="5" width="17.5546875" customWidth="1"/>
    <col min="6" max="6" width="14.5546875" customWidth="1"/>
    <col min="7" max="7" width="19.109375" customWidth="1"/>
    <col min="8" max="8" width="11" bestFit="1" customWidth="1"/>
    <col min="9" max="9" width="12" customWidth="1"/>
    <col min="10" max="10" width="14.44140625" customWidth="1"/>
    <col min="11" max="11" width="14" customWidth="1"/>
    <col min="13" max="13" width="9.5546875" customWidth="1"/>
  </cols>
  <sheetData>
    <row r="1" spans="1:9">
      <c r="A1" s="108"/>
      <c r="B1" s="108"/>
      <c r="C1" s="108"/>
      <c r="D1" s="108"/>
      <c r="E1" s="108"/>
      <c r="F1" s="108"/>
      <c r="G1" s="108"/>
      <c r="H1" s="108"/>
      <c r="I1" s="108"/>
    </row>
    <row r="2" spans="1:9">
      <c r="A2" s="109" t="s">
        <v>11</v>
      </c>
      <c r="B2" s="109"/>
      <c r="C2" s="109"/>
      <c r="D2" s="109"/>
      <c r="E2" s="109"/>
      <c r="F2" s="109"/>
      <c r="G2" s="109"/>
      <c r="H2" s="109"/>
      <c r="I2" s="109"/>
    </row>
    <row r="3" spans="1:9">
      <c r="A3" s="9"/>
      <c r="B3" s="9"/>
      <c r="C3" s="9"/>
      <c r="D3" s="9"/>
      <c r="E3" s="9"/>
      <c r="F3" s="9"/>
      <c r="G3" s="9"/>
      <c r="H3" s="9"/>
      <c r="I3" s="9"/>
    </row>
    <row r="4" spans="1:9">
      <c r="A4" s="103" t="s">
        <v>12</v>
      </c>
      <c r="B4" s="103"/>
      <c r="C4" s="103"/>
      <c r="D4" s="103"/>
      <c r="E4" s="103"/>
      <c r="F4" s="103"/>
      <c r="G4" s="103"/>
      <c r="H4" s="103"/>
      <c r="I4" s="103"/>
    </row>
    <row r="5" spans="1:9">
      <c r="A5" s="2" t="s">
        <v>13</v>
      </c>
      <c r="B5" s="104" t="s">
        <v>14</v>
      </c>
      <c r="C5" s="104"/>
      <c r="D5" s="104"/>
      <c r="E5" s="104"/>
      <c r="F5" s="104"/>
      <c r="G5" s="104"/>
      <c r="H5" s="110" t="s">
        <v>15</v>
      </c>
      <c r="I5" s="106"/>
    </row>
    <row r="6" spans="1:9">
      <c r="A6" s="2" t="s">
        <v>16</v>
      </c>
      <c r="B6" s="104" t="s">
        <v>17</v>
      </c>
      <c r="C6" s="104"/>
      <c r="D6" s="104"/>
      <c r="E6" s="104"/>
      <c r="F6" s="104"/>
      <c r="G6" s="104"/>
      <c r="H6" s="106" t="s">
        <v>237</v>
      </c>
      <c r="I6" s="106"/>
    </row>
    <row r="7" spans="1:9">
      <c r="A7" s="2" t="s">
        <v>18</v>
      </c>
      <c r="B7" s="104" t="s">
        <v>19</v>
      </c>
      <c r="C7" s="104"/>
      <c r="D7" s="104"/>
      <c r="E7" s="104"/>
      <c r="F7" s="104"/>
      <c r="G7" s="104"/>
      <c r="H7" s="105" t="s">
        <v>20</v>
      </c>
      <c r="I7" s="106"/>
    </row>
    <row r="8" spans="1:9">
      <c r="A8" s="2" t="s">
        <v>21</v>
      </c>
      <c r="B8" s="104" t="s">
        <v>22</v>
      </c>
      <c r="C8" s="104"/>
      <c r="D8" s="104"/>
      <c r="E8" s="104"/>
      <c r="F8" s="104"/>
      <c r="G8" s="104"/>
      <c r="H8" s="107">
        <v>12</v>
      </c>
      <c r="I8" s="107"/>
    </row>
    <row r="9" spans="1:9">
      <c r="A9" s="10"/>
      <c r="B9" s="9"/>
      <c r="C9" s="9"/>
      <c r="D9" s="9"/>
      <c r="E9" s="9"/>
      <c r="F9" s="9"/>
      <c r="G9" s="9"/>
      <c r="H9" s="10"/>
      <c r="I9" s="10"/>
    </row>
    <row r="10" spans="1:9">
      <c r="A10" s="103" t="s">
        <v>23</v>
      </c>
      <c r="B10" s="103"/>
      <c r="C10" s="103"/>
      <c r="D10" s="103"/>
      <c r="E10" s="103"/>
      <c r="F10" s="103"/>
      <c r="G10" s="103"/>
      <c r="H10" s="103"/>
      <c r="I10" s="103"/>
    </row>
    <row r="11" spans="1:9">
      <c r="A11" s="106" t="s">
        <v>24</v>
      </c>
      <c r="B11" s="106"/>
      <c r="C11" s="106" t="s">
        <v>25</v>
      </c>
      <c r="D11" s="106"/>
      <c r="E11" s="106" t="s">
        <v>26</v>
      </c>
      <c r="F11" s="106"/>
      <c r="G11" s="106"/>
      <c r="H11" s="106"/>
      <c r="I11" s="106"/>
    </row>
    <row r="12" spans="1:9">
      <c r="A12" s="106" t="s">
        <v>27</v>
      </c>
      <c r="B12" s="106"/>
      <c r="C12" s="106" t="s">
        <v>6</v>
      </c>
      <c r="D12" s="106"/>
      <c r="E12" s="106">
        <v>1</v>
      </c>
      <c r="F12" s="106"/>
      <c r="G12" s="106"/>
      <c r="H12" s="106"/>
      <c r="I12" s="106"/>
    </row>
    <row r="13" spans="1:9">
      <c r="A13" s="10"/>
      <c r="B13" s="9"/>
      <c r="C13" s="9"/>
      <c r="D13" s="9"/>
      <c r="E13" s="9"/>
      <c r="F13" s="9"/>
      <c r="G13" s="9"/>
      <c r="H13" s="10"/>
      <c r="I13" s="10"/>
    </row>
    <row r="14" spans="1:9">
      <c r="A14" s="103" t="s">
        <v>28</v>
      </c>
      <c r="B14" s="103"/>
      <c r="C14" s="103"/>
      <c r="D14" s="103"/>
      <c r="E14" s="103"/>
      <c r="F14" s="103"/>
      <c r="G14" s="103"/>
      <c r="H14" s="103"/>
      <c r="I14" s="103"/>
    </row>
    <row r="15" spans="1:9">
      <c r="A15" s="2">
        <v>1</v>
      </c>
      <c r="B15" s="104" t="s">
        <v>29</v>
      </c>
      <c r="C15" s="104"/>
      <c r="D15" s="104"/>
      <c r="E15" s="104"/>
      <c r="F15" s="104"/>
      <c r="G15" s="104"/>
      <c r="H15" s="105" t="s">
        <v>30</v>
      </c>
      <c r="I15" s="106"/>
    </row>
    <row r="16" spans="1:9">
      <c r="A16" s="2">
        <v>2</v>
      </c>
      <c r="B16" s="104" t="s">
        <v>31</v>
      </c>
      <c r="C16" s="104"/>
      <c r="D16" s="104"/>
      <c r="E16" s="104"/>
      <c r="F16" s="104"/>
      <c r="G16" s="104"/>
      <c r="H16" s="111" t="s">
        <v>32</v>
      </c>
      <c r="I16" s="107"/>
    </row>
    <row r="17" spans="1:11">
      <c r="A17" s="2">
        <v>3</v>
      </c>
      <c r="B17" s="104" t="s">
        <v>33</v>
      </c>
      <c r="C17" s="104"/>
      <c r="D17" s="104"/>
      <c r="E17" s="104"/>
      <c r="F17" s="104"/>
      <c r="G17" s="104"/>
      <c r="H17" s="112">
        <f>I23</f>
        <v>2818.64</v>
      </c>
      <c r="I17" s="106"/>
    </row>
    <row r="18" spans="1:11">
      <c r="A18" s="2">
        <v>4</v>
      </c>
      <c r="B18" s="104" t="s">
        <v>34</v>
      </c>
      <c r="C18" s="104"/>
      <c r="D18" s="104"/>
      <c r="E18" s="104"/>
      <c r="F18" s="104"/>
      <c r="G18" s="104"/>
      <c r="H18" s="106" t="s">
        <v>35</v>
      </c>
      <c r="I18" s="106"/>
    </row>
    <row r="19" spans="1:11">
      <c r="A19" s="2">
        <v>5</v>
      </c>
      <c r="B19" s="104" t="s">
        <v>36</v>
      </c>
      <c r="C19" s="104"/>
      <c r="D19" s="104"/>
      <c r="E19" s="104"/>
      <c r="F19" s="104"/>
      <c r="G19" s="104"/>
      <c r="H19" s="110">
        <v>45047</v>
      </c>
      <c r="I19" s="106"/>
    </row>
    <row r="20" spans="1:11">
      <c r="A20" s="108"/>
      <c r="B20" s="108"/>
      <c r="C20" s="108"/>
      <c r="D20" s="108"/>
      <c r="E20" s="108"/>
      <c r="F20" s="108"/>
      <c r="G20" s="108"/>
      <c r="H20" s="108"/>
      <c r="I20" s="108"/>
    </row>
    <row r="21" spans="1:11">
      <c r="A21" s="113" t="s">
        <v>37</v>
      </c>
      <c r="B21" s="113"/>
      <c r="C21" s="113"/>
      <c r="D21" s="113"/>
      <c r="E21" s="113"/>
      <c r="F21" s="113"/>
      <c r="G21" s="113"/>
      <c r="H21" s="113"/>
      <c r="I21" s="113"/>
    </row>
    <row r="22" spans="1:11">
      <c r="A22" s="1">
        <v>1</v>
      </c>
      <c r="B22" s="114" t="s">
        <v>38</v>
      </c>
      <c r="C22" s="114"/>
      <c r="D22" s="114"/>
      <c r="E22" s="114"/>
      <c r="F22" s="114"/>
      <c r="G22" s="114"/>
      <c r="H22" s="1" t="s">
        <v>39</v>
      </c>
      <c r="I22" s="1" t="s">
        <v>40</v>
      </c>
    </row>
    <row r="23" spans="1:11">
      <c r="A23" s="1" t="s">
        <v>13</v>
      </c>
      <c r="B23" s="104" t="s">
        <v>41</v>
      </c>
      <c r="C23" s="104"/>
      <c r="D23" s="104"/>
      <c r="E23" s="104"/>
      <c r="F23" s="104"/>
      <c r="G23" s="104"/>
      <c r="H23" s="5"/>
      <c r="I23" s="19">
        <v>2818.64</v>
      </c>
    </row>
    <row r="24" spans="1:11">
      <c r="A24" s="1" t="s">
        <v>16</v>
      </c>
      <c r="B24" s="104" t="s">
        <v>42</v>
      </c>
      <c r="C24" s="104"/>
      <c r="D24" s="104"/>
      <c r="E24" s="104"/>
      <c r="F24" s="104"/>
      <c r="G24" s="104"/>
      <c r="H24" s="23">
        <v>0</v>
      </c>
      <c r="I24" s="19">
        <f>I23*H24</f>
        <v>0</v>
      </c>
      <c r="K24" s="30"/>
    </row>
    <row r="25" spans="1:11">
      <c r="A25" s="1" t="s">
        <v>18</v>
      </c>
      <c r="B25" s="104" t="s">
        <v>43</v>
      </c>
      <c r="C25" s="104"/>
      <c r="D25" s="104"/>
      <c r="E25" s="104"/>
      <c r="F25" s="104"/>
      <c r="G25" s="104"/>
      <c r="H25" s="23"/>
      <c r="I25" s="19">
        <f>H25*I23</f>
        <v>0</v>
      </c>
    </row>
    <row r="26" spans="1:11">
      <c r="A26" s="1" t="s">
        <v>21</v>
      </c>
      <c r="B26" s="104" t="s">
        <v>44</v>
      </c>
      <c r="C26" s="104"/>
      <c r="D26" s="104"/>
      <c r="E26" s="104"/>
      <c r="F26" s="104"/>
      <c r="G26" s="104"/>
      <c r="H26" s="23">
        <v>0</v>
      </c>
      <c r="I26" s="19">
        <f>(((I23+I24)/220)*H26*8*15)</f>
        <v>0</v>
      </c>
    </row>
    <row r="27" spans="1:11">
      <c r="A27" s="1" t="s">
        <v>45</v>
      </c>
      <c r="B27" s="104" t="s">
        <v>46</v>
      </c>
      <c r="C27" s="104"/>
      <c r="D27" s="104"/>
      <c r="E27" s="104"/>
      <c r="F27" s="104"/>
      <c r="G27" s="104"/>
      <c r="H27" s="24"/>
      <c r="I27" s="19">
        <v>0</v>
      </c>
    </row>
    <row r="28" spans="1:11">
      <c r="A28" s="1" t="s">
        <v>47</v>
      </c>
      <c r="B28" s="104" t="s">
        <v>48</v>
      </c>
      <c r="C28" s="104"/>
      <c r="D28" s="104"/>
      <c r="E28" s="104"/>
      <c r="F28" s="104"/>
      <c r="G28" s="104"/>
      <c r="H28" s="23"/>
      <c r="I28" s="19">
        <v>0</v>
      </c>
    </row>
    <row r="29" spans="1:11">
      <c r="A29" s="114" t="s">
        <v>49</v>
      </c>
      <c r="B29" s="114"/>
      <c r="C29" s="114"/>
      <c r="D29" s="114"/>
      <c r="E29" s="114"/>
      <c r="F29" s="114"/>
      <c r="G29" s="114"/>
      <c r="H29" s="114"/>
      <c r="I29" s="15">
        <f>TRUNC(SUM(I23:I28),2)</f>
        <v>2818.64</v>
      </c>
    </row>
    <row r="30" spans="1:11">
      <c r="A30" s="11"/>
      <c r="B30" s="11"/>
      <c r="C30" s="11"/>
      <c r="D30" s="11"/>
      <c r="E30" s="11"/>
      <c r="F30" s="11"/>
      <c r="G30" s="11"/>
      <c r="H30" s="11"/>
      <c r="I30" s="16"/>
    </row>
    <row r="31" spans="1:11">
      <c r="A31" s="113" t="s">
        <v>50</v>
      </c>
      <c r="B31" s="113"/>
      <c r="C31" s="113"/>
      <c r="D31" s="113"/>
      <c r="E31" s="113"/>
      <c r="F31" s="113"/>
      <c r="G31" s="113"/>
      <c r="H31" s="113"/>
      <c r="I31" s="113"/>
    </row>
    <row r="32" spans="1:11">
      <c r="A32" s="114" t="s">
        <v>51</v>
      </c>
      <c r="B32" s="114"/>
      <c r="C32" s="114"/>
      <c r="D32" s="114"/>
      <c r="E32" s="114"/>
      <c r="F32" s="114"/>
      <c r="G32" s="114"/>
      <c r="H32" s="1" t="s">
        <v>39</v>
      </c>
      <c r="I32" s="1" t="s">
        <v>40</v>
      </c>
    </row>
    <row r="33" spans="1:11">
      <c r="A33" s="1" t="s">
        <v>13</v>
      </c>
      <c r="B33" s="104" t="s">
        <v>52</v>
      </c>
      <c r="C33" s="104"/>
      <c r="D33" s="104"/>
      <c r="E33" s="104"/>
      <c r="F33" s="104"/>
      <c r="G33" s="104"/>
      <c r="H33" s="20">
        <v>8.3299999999999999E-2</v>
      </c>
      <c r="I33" s="19">
        <f>TRUNC($I$29*H33,2)</f>
        <v>234.79</v>
      </c>
    </row>
    <row r="34" spans="1:11">
      <c r="A34" s="1" t="s">
        <v>16</v>
      </c>
      <c r="B34" s="104" t="s">
        <v>53</v>
      </c>
      <c r="C34" s="104"/>
      <c r="D34" s="104"/>
      <c r="E34" s="104"/>
      <c r="F34" s="104"/>
      <c r="G34" s="104"/>
      <c r="H34" s="12">
        <v>0.1111</v>
      </c>
      <c r="I34" s="19">
        <f>TRUNC(H34*I29,2)</f>
        <v>313.14999999999998</v>
      </c>
    </row>
    <row r="35" spans="1:11">
      <c r="A35" s="114" t="s">
        <v>54</v>
      </c>
      <c r="B35" s="114"/>
      <c r="C35" s="114"/>
      <c r="D35" s="114"/>
      <c r="E35" s="114"/>
      <c r="F35" s="114"/>
      <c r="G35" s="114"/>
      <c r="H35" s="13">
        <f>TRUNC(SUM(H33:H34),4)</f>
        <v>0.19439999999999999</v>
      </c>
      <c r="I35" s="15">
        <f>TRUNC(SUM(I33:I34),2)</f>
        <v>547.94000000000005</v>
      </c>
    </row>
    <row r="36" spans="1:11">
      <c r="A36" s="115"/>
      <c r="B36" s="116"/>
      <c r="C36" s="116"/>
      <c r="D36" s="116"/>
      <c r="E36" s="116"/>
      <c r="F36" s="116"/>
      <c r="G36" s="116"/>
      <c r="H36" s="116"/>
      <c r="I36" s="116"/>
      <c r="J36" s="17" t="s">
        <v>55</v>
      </c>
      <c r="K36" s="22">
        <f>I29+I35</f>
        <v>3366.58</v>
      </c>
    </row>
    <row r="37" spans="1:11">
      <c r="A37" s="114" t="s">
        <v>56</v>
      </c>
      <c r="B37" s="114"/>
      <c r="C37" s="114"/>
      <c r="D37" s="114"/>
      <c r="E37" s="114"/>
      <c r="F37" s="114"/>
      <c r="G37" s="114"/>
      <c r="H37" s="1" t="s">
        <v>39</v>
      </c>
      <c r="I37" s="1" t="s">
        <v>40</v>
      </c>
    </row>
    <row r="38" spans="1:11">
      <c r="A38" s="1" t="s">
        <v>13</v>
      </c>
      <c r="B38" s="104" t="s">
        <v>57</v>
      </c>
      <c r="C38" s="104"/>
      <c r="D38" s="104"/>
      <c r="E38" s="104"/>
      <c r="F38" s="104"/>
      <c r="G38" s="104"/>
      <c r="H38" s="20">
        <v>0.2</v>
      </c>
      <c r="I38" s="19">
        <f>H38*$K$36</f>
        <v>673.31600000000003</v>
      </c>
    </row>
    <row r="39" spans="1:11">
      <c r="A39" s="1" t="s">
        <v>16</v>
      </c>
      <c r="B39" s="104" t="s">
        <v>58</v>
      </c>
      <c r="C39" s="104"/>
      <c r="D39" s="104"/>
      <c r="E39" s="104"/>
      <c r="F39" s="104"/>
      <c r="G39" s="104"/>
      <c r="H39" s="20">
        <v>2.5000000000000001E-2</v>
      </c>
      <c r="I39" s="19">
        <f t="shared" ref="I39:I45" si="0">H39*$K$36</f>
        <v>84.164500000000004</v>
      </c>
    </row>
    <row r="40" spans="1:11">
      <c r="A40" s="1" t="s">
        <v>18</v>
      </c>
      <c r="B40" s="104" t="s">
        <v>59</v>
      </c>
      <c r="C40" s="104"/>
      <c r="D40" s="104"/>
      <c r="E40" s="104"/>
      <c r="F40" s="104"/>
      <c r="G40" s="104"/>
      <c r="H40" s="12">
        <v>0.03</v>
      </c>
      <c r="I40" s="79">
        <f t="shared" si="0"/>
        <v>100.9974</v>
      </c>
    </row>
    <row r="41" spans="1:11">
      <c r="A41" s="1" t="s">
        <v>21</v>
      </c>
      <c r="B41" s="104" t="s">
        <v>60</v>
      </c>
      <c r="C41" s="104"/>
      <c r="D41" s="104"/>
      <c r="E41" s="104"/>
      <c r="F41" s="104"/>
      <c r="G41" s="104"/>
      <c r="H41" s="20">
        <v>1.4999999999999999E-2</v>
      </c>
      <c r="I41" s="19">
        <f t="shared" si="0"/>
        <v>50.498699999999999</v>
      </c>
    </row>
    <row r="42" spans="1:11">
      <c r="A42" s="1" t="s">
        <v>45</v>
      </c>
      <c r="B42" s="104" t="s">
        <v>61</v>
      </c>
      <c r="C42" s="104"/>
      <c r="D42" s="104"/>
      <c r="E42" s="104"/>
      <c r="F42" s="104"/>
      <c r="G42" s="104"/>
      <c r="H42" s="20">
        <v>0.01</v>
      </c>
      <c r="I42" s="19">
        <f t="shared" si="0"/>
        <v>33.665799999999997</v>
      </c>
    </row>
    <row r="43" spans="1:11">
      <c r="A43" s="1" t="s">
        <v>47</v>
      </c>
      <c r="B43" s="104" t="s">
        <v>62</v>
      </c>
      <c r="C43" s="104"/>
      <c r="D43" s="104"/>
      <c r="E43" s="104"/>
      <c r="F43" s="104"/>
      <c r="G43" s="104"/>
      <c r="H43" s="20">
        <v>6.0000000000000001E-3</v>
      </c>
      <c r="I43" s="19">
        <f t="shared" si="0"/>
        <v>20.199480000000001</v>
      </c>
    </row>
    <row r="44" spans="1:11">
      <c r="A44" s="1" t="s">
        <v>63</v>
      </c>
      <c r="B44" s="104" t="s">
        <v>64</v>
      </c>
      <c r="C44" s="104"/>
      <c r="D44" s="104"/>
      <c r="E44" s="104"/>
      <c r="F44" s="104"/>
      <c r="G44" s="104"/>
      <c r="H44" s="20">
        <v>2E-3</v>
      </c>
      <c r="I44" s="19">
        <f t="shared" si="0"/>
        <v>6.7331599999999998</v>
      </c>
    </row>
    <row r="45" spans="1:11">
      <c r="A45" s="1" t="s">
        <v>65</v>
      </c>
      <c r="B45" s="104" t="s">
        <v>66</v>
      </c>
      <c r="C45" s="104"/>
      <c r="D45" s="104"/>
      <c r="E45" s="104"/>
      <c r="F45" s="104"/>
      <c r="G45" s="104"/>
      <c r="H45" s="20">
        <v>0.08</v>
      </c>
      <c r="I45" s="19">
        <f t="shared" si="0"/>
        <v>269.32639999999998</v>
      </c>
    </row>
    <row r="46" spans="1:11">
      <c r="A46" s="114" t="s">
        <v>67</v>
      </c>
      <c r="B46" s="114"/>
      <c r="C46" s="114"/>
      <c r="D46" s="114"/>
      <c r="E46" s="114"/>
      <c r="F46" s="114"/>
      <c r="G46" s="114"/>
      <c r="H46" s="13">
        <f>SUM(H38:H45)</f>
        <v>0.36800000000000005</v>
      </c>
      <c r="I46" s="15">
        <f>TRUNC(SUM(I38:I45),2)</f>
        <v>1238.9000000000001</v>
      </c>
    </row>
    <row r="47" spans="1:11">
      <c r="A47" s="117"/>
      <c r="B47" s="117"/>
      <c r="C47" s="117"/>
      <c r="D47" s="117"/>
      <c r="E47" s="117"/>
      <c r="F47" s="117"/>
      <c r="G47" s="117"/>
      <c r="H47" s="117"/>
      <c r="I47" s="118"/>
    </row>
    <row r="48" spans="1:11">
      <c r="A48" s="114" t="s">
        <v>68</v>
      </c>
      <c r="B48" s="114"/>
      <c r="C48" s="114"/>
      <c r="D48" s="114"/>
      <c r="E48" s="114"/>
      <c r="F48" s="114"/>
      <c r="G48" s="114"/>
      <c r="H48" s="13"/>
      <c r="I48" s="1" t="s">
        <v>40</v>
      </c>
    </row>
    <row r="49" spans="1:11">
      <c r="A49" s="1" t="s">
        <v>13</v>
      </c>
      <c r="B49" s="119" t="s">
        <v>69</v>
      </c>
      <c r="C49" s="120"/>
      <c r="D49" s="120"/>
      <c r="E49" s="120"/>
      <c r="F49" s="120"/>
      <c r="G49" s="120"/>
      <c r="H49" s="77" t="s">
        <v>15</v>
      </c>
      <c r="I49" s="81">
        <f>5*22*0</f>
        <v>0</v>
      </c>
      <c r="J49" s="78"/>
    </row>
    <row r="50" spans="1:11">
      <c r="A50" s="1" t="s">
        <v>16</v>
      </c>
      <c r="B50" s="121" t="s">
        <v>70</v>
      </c>
      <c r="C50" s="122"/>
      <c r="D50" s="122"/>
      <c r="E50" s="122"/>
      <c r="F50" s="122"/>
      <c r="G50" s="122"/>
      <c r="H50" s="2" t="s">
        <v>15</v>
      </c>
      <c r="I50" s="18">
        <f>684.7*0.8</f>
        <v>547.7600000000001</v>
      </c>
      <c r="J50" t="s">
        <v>223</v>
      </c>
      <c r="K50" s="30"/>
    </row>
    <row r="51" spans="1:11">
      <c r="A51" s="80" t="s">
        <v>18</v>
      </c>
      <c r="B51" s="120" t="s">
        <v>71</v>
      </c>
      <c r="C51" s="120"/>
      <c r="D51" s="120"/>
      <c r="E51" s="120"/>
      <c r="F51" s="120"/>
      <c r="G51" s="120"/>
      <c r="H51" s="77" t="s">
        <v>15</v>
      </c>
      <c r="I51" s="81">
        <v>127.54</v>
      </c>
      <c r="J51" t="s">
        <v>224</v>
      </c>
      <c r="K51" s="30"/>
    </row>
    <row r="52" spans="1:11">
      <c r="A52" s="80" t="s">
        <v>21</v>
      </c>
      <c r="B52" s="123" t="s">
        <v>72</v>
      </c>
      <c r="C52" s="124"/>
      <c r="D52" s="124"/>
      <c r="E52" s="124"/>
      <c r="F52" s="124"/>
      <c r="G52" s="125"/>
      <c r="H52" s="77" t="s">
        <v>15</v>
      </c>
      <c r="I52" s="81">
        <v>13.81</v>
      </c>
      <c r="J52" t="s">
        <v>224</v>
      </c>
      <c r="K52" s="30"/>
    </row>
    <row r="53" spans="1:11">
      <c r="A53" s="1" t="s">
        <v>47</v>
      </c>
      <c r="B53" s="122" t="s">
        <v>73</v>
      </c>
      <c r="C53" s="122"/>
      <c r="D53" s="122"/>
      <c r="E53" s="122"/>
      <c r="F53" s="122"/>
      <c r="G53" s="122"/>
      <c r="H53" s="2" t="s">
        <v>15</v>
      </c>
      <c r="I53" s="18">
        <v>0</v>
      </c>
    </row>
    <row r="54" spans="1:11">
      <c r="A54" s="114" t="s">
        <v>74</v>
      </c>
      <c r="B54" s="114"/>
      <c r="C54" s="114"/>
      <c r="D54" s="114"/>
      <c r="E54" s="114"/>
      <c r="F54" s="114"/>
      <c r="G54" s="114"/>
      <c r="H54" s="114"/>
      <c r="I54" s="15">
        <f>SUM(I49:I53)</f>
        <v>689.11</v>
      </c>
    </row>
    <row r="55" spans="1:11">
      <c r="A55" s="117"/>
      <c r="B55" s="117"/>
      <c r="C55" s="117"/>
      <c r="D55" s="117"/>
      <c r="E55" s="117"/>
      <c r="F55" s="117"/>
      <c r="G55" s="117"/>
      <c r="H55" s="117"/>
      <c r="I55" s="118"/>
    </row>
    <row r="56" spans="1:11">
      <c r="A56" s="129" t="s">
        <v>75</v>
      </c>
      <c r="B56" s="129"/>
      <c r="C56" s="129"/>
      <c r="D56" s="129"/>
      <c r="E56" s="129"/>
      <c r="F56" s="129"/>
      <c r="G56" s="129"/>
      <c r="H56" s="129"/>
      <c r="I56" s="129"/>
    </row>
    <row r="57" spans="1:11">
      <c r="A57" s="114" t="s">
        <v>76</v>
      </c>
      <c r="B57" s="114"/>
      <c r="C57" s="114"/>
      <c r="D57" s="114"/>
      <c r="E57" s="114"/>
      <c r="F57" s="114"/>
      <c r="G57" s="114"/>
      <c r="H57" s="114"/>
      <c r="I57" s="1" t="s">
        <v>40</v>
      </c>
    </row>
    <row r="58" spans="1:11">
      <c r="A58" s="1" t="s">
        <v>77</v>
      </c>
      <c r="B58" s="106" t="s">
        <v>78</v>
      </c>
      <c r="C58" s="106"/>
      <c r="D58" s="106"/>
      <c r="E58" s="106"/>
      <c r="F58" s="106"/>
      <c r="G58" s="106"/>
      <c r="H58" s="106"/>
      <c r="I58" s="19">
        <f>I35</f>
        <v>547.94000000000005</v>
      </c>
    </row>
    <row r="59" spans="1:11">
      <c r="A59" s="1" t="s">
        <v>79</v>
      </c>
      <c r="B59" s="106" t="s">
        <v>80</v>
      </c>
      <c r="C59" s="106"/>
      <c r="D59" s="106"/>
      <c r="E59" s="106"/>
      <c r="F59" s="106"/>
      <c r="G59" s="106"/>
      <c r="H59" s="106"/>
      <c r="I59" s="19">
        <f>I46</f>
        <v>1238.9000000000001</v>
      </c>
    </row>
    <row r="60" spans="1:11">
      <c r="A60" s="1" t="s">
        <v>81</v>
      </c>
      <c r="B60" s="106" t="s">
        <v>82</v>
      </c>
      <c r="C60" s="106"/>
      <c r="D60" s="106"/>
      <c r="E60" s="106"/>
      <c r="F60" s="106"/>
      <c r="G60" s="106"/>
      <c r="H60" s="106"/>
      <c r="I60" s="19">
        <f>I54</f>
        <v>689.11</v>
      </c>
    </row>
    <row r="61" spans="1:11">
      <c r="A61" s="114" t="s">
        <v>83</v>
      </c>
      <c r="B61" s="114"/>
      <c r="C61" s="114"/>
      <c r="D61" s="114"/>
      <c r="E61" s="114"/>
      <c r="F61" s="114"/>
      <c r="G61" s="114"/>
      <c r="H61" s="114"/>
      <c r="I61" s="15">
        <f>TRUNC(SUM(I58:I60),2)</f>
        <v>2475.9499999999998</v>
      </c>
    </row>
    <row r="62" spans="1:11">
      <c r="A62" s="126"/>
      <c r="B62" s="127"/>
      <c r="C62" s="127"/>
      <c r="D62" s="127"/>
      <c r="E62" s="127"/>
      <c r="F62" s="127"/>
      <c r="G62" s="127"/>
      <c r="H62" s="127"/>
      <c r="I62" s="127"/>
    </row>
    <row r="63" spans="1:11">
      <c r="A63" s="113" t="s">
        <v>84</v>
      </c>
      <c r="B63" s="113"/>
      <c r="C63" s="113"/>
      <c r="D63" s="113"/>
      <c r="E63" s="113"/>
      <c r="F63" s="113"/>
      <c r="G63" s="113"/>
      <c r="H63" s="113"/>
      <c r="I63" s="113"/>
    </row>
    <row r="64" spans="1:11">
      <c r="A64" s="1">
        <v>3</v>
      </c>
      <c r="B64" s="114" t="s">
        <v>85</v>
      </c>
      <c r="C64" s="114"/>
      <c r="D64" s="114"/>
      <c r="E64" s="114"/>
      <c r="F64" s="114"/>
      <c r="G64" s="114"/>
      <c r="H64" s="1" t="s">
        <v>39</v>
      </c>
      <c r="I64" s="1" t="s">
        <v>40</v>
      </c>
    </row>
    <row r="65" spans="1:11">
      <c r="A65" s="1" t="s">
        <v>13</v>
      </c>
      <c r="B65" s="104" t="s">
        <v>86</v>
      </c>
      <c r="C65" s="104"/>
      <c r="D65" s="104"/>
      <c r="E65" s="104"/>
      <c r="F65" s="104"/>
      <c r="G65" s="104"/>
      <c r="H65" s="20">
        <v>4.1999999999999997E-3</v>
      </c>
      <c r="I65" s="19">
        <f>($I$29+$I$35+$I$45+$I$54)*H65</f>
        <v>18.165068879999996</v>
      </c>
    </row>
    <row r="66" spans="1:11">
      <c r="A66" s="1" t="s">
        <v>16</v>
      </c>
      <c r="B66" s="104" t="s">
        <v>87</v>
      </c>
      <c r="C66" s="104"/>
      <c r="D66" s="104"/>
      <c r="E66" s="104"/>
      <c r="F66" s="104"/>
      <c r="G66" s="104"/>
      <c r="H66" s="20">
        <v>3.3599999999999998E-4</v>
      </c>
      <c r="I66" s="19">
        <f>H66*($I$29+$I$35)</f>
        <v>1.13117088</v>
      </c>
      <c r="K66" s="38"/>
    </row>
    <row r="67" spans="1:11">
      <c r="A67" s="1" t="s">
        <v>18</v>
      </c>
      <c r="B67" s="104" t="s">
        <v>88</v>
      </c>
      <c r="C67" s="104"/>
      <c r="D67" s="104"/>
      <c r="E67" s="104"/>
      <c r="F67" s="104"/>
      <c r="G67" s="104"/>
      <c r="H67" s="12">
        <v>0.04</v>
      </c>
      <c r="I67" s="19">
        <f>($I$29+$I$35)*H67</f>
        <v>134.66319999999999</v>
      </c>
    </row>
    <row r="68" spans="1:11">
      <c r="A68" s="1" t="s">
        <v>21</v>
      </c>
      <c r="B68" s="104" t="s">
        <v>89</v>
      </c>
      <c r="C68" s="104"/>
      <c r="D68" s="104"/>
      <c r="E68" s="104"/>
      <c r="F68" s="104"/>
      <c r="G68" s="104"/>
      <c r="H68" s="12">
        <v>1.9439999999999999E-2</v>
      </c>
      <c r="I68" s="19">
        <f>($I$61)*H68</f>
        <v>48.132467999999996</v>
      </c>
    </row>
    <row r="69" spans="1:11">
      <c r="A69" s="1" t="s">
        <v>45</v>
      </c>
      <c r="B69" s="128" t="s">
        <v>90</v>
      </c>
      <c r="C69" s="128"/>
      <c r="D69" s="128"/>
      <c r="E69" s="128"/>
      <c r="F69" s="128"/>
      <c r="G69" s="128"/>
      <c r="H69" s="41">
        <f>H46*H68</f>
        <v>7.1539200000000002E-3</v>
      </c>
      <c r="I69" s="42">
        <f>($I$29+$I$35)*H69</f>
        <v>24.084243993600001</v>
      </c>
    </row>
    <row r="70" spans="1:11">
      <c r="A70" s="114" t="s">
        <v>91</v>
      </c>
      <c r="B70" s="114"/>
      <c r="C70" s="114"/>
      <c r="D70" s="114"/>
      <c r="E70" s="114"/>
      <c r="F70" s="114"/>
      <c r="G70" s="114"/>
      <c r="H70" s="13">
        <f>TRUNC(SUM(H65:H69),4)</f>
        <v>7.1099999999999997E-2</v>
      </c>
      <c r="I70" s="15">
        <f>TRUNC(SUM(I65:I69),2)</f>
        <v>226.17</v>
      </c>
    </row>
    <row r="71" spans="1:11">
      <c r="A71" s="130"/>
      <c r="B71" s="131"/>
      <c r="C71" s="131"/>
      <c r="D71" s="131"/>
      <c r="E71" s="131"/>
      <c r="F71" s="131"/>
      <c r="G71" s="131"/>
      <c r="H71" s="131"/>
      <c r="I71" s="131"/>
    </row>
    <row r="72" spans="1:11">
      <c r="A72" s="113" t="s">
        <v>92</v>
      </c>
      <c r="B72" s="113"/>
      <c r="C72" s="113"/>
      <c r="D72" s="113"/>
      <c r="E72" s="113"/>
      <c r="F72" s="113"/>
      <c r="G72" s="113"/>
      <c r="H72" s="113"/>
      <c r="I72" s="113"/>
      <c r="J72" s="17" t="s">
        <v>93</v>
      </c>
      <c r="K72" s="22">
        <f>I29+I61+I70</f>
        <v>5520.76</v>
      </c>
    </row>
    <row r="73" spans="1:11">
      <c r="A73" s="114" t="s">
        <v>94</v>
      </c>
      <c r="B73" s="114"/>
      <c r="C73" s="114"/>
      <c r="D73" s="114"/>
      <c r="E73" s="114"/>
      <c r="F73" s="114"/>
      <c r="G73" s="114"/>
      <c r="H73" s="1" t="s">
        <v>39</v>
      </c>
      <c r="I73" s="1" t="s">
        <v>40</v>
      </c>
    </row>
    <row r="74" spans="1:11">
      <c r="A74" s="80" t="s">
        <v>13</v>
      </c>
      <c r="B74" s="132" t="s">
        <v>95</v>
      </c>
      <c r="C74" s="132"/>
      <c r="D74" s="132"/>
      <c r="E74" s="132"/>
      <c r="F74" s="132"/>
      <c r="G74" s="132"/>
      <c r="H74" s="12">
        <v>8.3299999999999999E-2</v>
      </c>
      <c r="I74" s="79">
        <f t="shared" ref="I74:I79" si="1">H74*$K$72</f>
        <v>459.87930800000004</v>
      </c>
    </row>
    <row r="75" spans="1:11">
      <c r="A75" s="1" t="s">
        <v>16</v>
      </c>
      <c r="B75" s="104" t="s">
        <v>96</v>
      </c>
      <c r="C75" s="104"/>
      <c r="D75" s="104"/>
      <c r="E75" s="104"/>
      <c r="F75" s="104"/>
      <c r="G75" s="104"/>
      <c r="H75" s="20">
        <v>8.2000000000000007E-3</v>
      </c>
      <c r="I75" s="19">
        <f t="shared" si="1"/>
        <v>45.270232000000007</v>
      </c>
    </row>
    <row r="76" spans="1:11">
      <c r="A76" s="1" t="s">
        <v>18</v>
      </c>
      <c r="B76" s="104" t="s">
        <v>97</v>
      </c>
      <c r="C76" s="104"/>
      <c r="D76" s="104"/>
      <c r="E76" s="104"/>
      <c r="F76" s="104"/>
      <c r="G76" s="104"/>
      <c r="H76" s="20">
        <v>2.0000000000000001E-4</v>
      </c>
      <c r="I76" s="19">
        <f t="shared" si="1"/>
        <v>1.104152</v>
      </c>
    </row>
    <row r="77" spans="1:11">
      <c r="A77" s="1" t="s">
        <v>21</v>
      </c>
      <c r="B77" s="104" t="s">
        <v>98</v>
      </c>
      <c r="C77" s="104"/>
      <c r="D77" s="104"/>
      <c r="E77" s="104"/>
      <c r="F77" s="104"/>
      <c r="G77" s="104"/>
      <c r="H77" s="20">
        <v>2.9999999999999997E-4</v>
      </c>
      <c r="I77" s="19">
        <f t="shared" si="1"/>
        <v>1.6562279999999998</v>
      </c>
    </row>
    <row r="78" spans="1:11">
      <c r="A78" s="1" t="s">
        <v>45</v>
      </c>
      <c r="B78" s="104" t="s">
        <v>99</v>
      </c>
      <c r="C78" s="104"/>
      <c r="D78" s="104"/>
      <c r="E78" s="104"/>
      <c r="F78" s="104"/>
      <c r="G78" s="104"/>
      <c r="H78" s="20">
        <v>6.9999999999999999E-4</v>
      </c>
      <c r="I78" s="19">
        <f t="shared" si="1"/>
        <v>3.8645320000000001</v>
      </c>
      <c r="K78" s="30"/>
    </row>
    <row r="79" spans="1:11">
      <c r="A79" s="1" t="s">
        <v>47</v>
      </c>
      <c r="B79" s="104" t="s">
        <v>100</v>
      </c>
      <c r="C79" s="104"/>
      <c r="D79" s="104"/>
      <c r="E79" s="104"/>
      <c r="F79" s="104"/>
      <c r="G79" s="104"/>
      <c r="H79" s="20">
        <v>0</v>
      </c>
      <c r="I79" s="19">
        <f t="shared" si="1"/>
        <v>0</v>
      </c>
      <c r="K79" s="31"/>
    </row>
    <row r="80" spans="1:11">
      <c r="A80" s="114" t="s">
        <v>101</v>
      </c>
      <c r="B80" s="114"/>
      <c r="C80" s="114"/>
      <c r="D80" s="114"/>
      <c r="E80" s="114"/>
      <c r="F80" s="114"/>
      <c r="G80" s="114"/>
      <c r="H80" s="13">
        <f>TRUNC(SUM(H74:H79),4)</f>
        <v>9.2700000000000005E-2</v>
      </c>
      <c r="I80" s="15">
        <f>TRUNC(SUM(I74:I79),2)</f>
        <v>511.77</v>
      </c>
      <c r="K80" s="31"/>
    </row>
    <row r="81" spans="1:9">
      <c r="A81" s="133"/>
      <c r="B81" s="134"/>
      <c r="C81" s="134"/>
      <c r="D81" s="134"/>
      <c r="E81" s="134"/>
      <c r="F81" s="134"/>
      <c r="G81" s="134"/>
      <c r="H81" s="134"/>
      <c r="I81" s="134"/>
    </row>
    <row r="82" spans="1:9">
      <c r="A82" s="114" t="s">
        <v>102</v>
      </c>
      <c r="B82" s="114"/>
      <c r="C82" s="114"/>
      <c r="D82" s="114"/>
      <c r="E82" s="114"/>
      <c r="F82" s="114"/>
      <c r="G82" s="114"/>
      <c r="H82" s="1" t="s">
        <v>39</v>
      </c>
      <c r="I82" s="1" t="s">
        <v>40</v>
      </c>
    </row>
    <row r="83" spans="1:9">
      <c r="A83" s="1" t="s">
        <v>13</v>
      </c>
      <c r="B83" s="104" t="s">
        <v>103</v>
      </c>
      <c r="C83" s="104"/>
      <c r="D83" s="104"/>
      <c r="E83" s="104"/>
      <c r="F83" s="104"/>
      <c r="G83" s="104"/>
      <c r="H83" s="20">
        <v>0</v>
      </c>
      <c r="I83" s="19">
        <v>0</v>
      </c>
    </row>
    <row r="84" spans="1:9">
      <c r="A84" s="114" t="s">
        <v>104</v>
      </c>
      <c r="B84" s="114"/>
      <c r="C84" s="114"/>
      <c r="D84" s="114"/>
      <c r="E84" s="114"/>
      <c r="F84" s="114"/>
      <c r="G84" s="114"/>
      <c r="H84" s="13">
        <f>TRUNC(SUM(H83),4)</f>
        <v>0</v>
      </c>
      <c r="I84" s="15">
        <f>TRUNC(SUM(I83),2)</f>
        <v>0</v>
      </c>
    </row>
    <row r="85" spans="1:9">
      <c r="A85" s="135"/>
      <c r="B85" s="136"/>
      <c r="C85" s="136"/>
      <c r="D85" s="136"/>
      <c r="E85" s="136"/>
      <c r="F85" s="136"/>
      <c r="G85" s="136"/>
      <c r="H85" s="136"/>
      <c r="I85" s="136"/>
    </row>
    <row r="86" spans="1:9">
      <c r="A86" s="129" t="s">
        <v>105</v>
      </c>
      <c r="B86" s="129"/>
      <c r="C86" s="129"/>
      <c r="D86" s="129"/>
      <c r="E86" s="129"/>
      <c r="F86" s="129"/>
      <c r="G86" s="129"/>
      <c r="H86" s="129"/>
      <c r="I86" s="129"/>
    </row>
    <row r="87" spans="1:9">
      <c r="A87" s="114" t="s">
        <v>106</v>
      </c>
      <c r="B87" s="114"/>
      <c r="C87" s="114"/>
      <c r="D87" s="114"/>
      <c r="E87" s="114"/>
      <c r="F87" s="114"/>
      <c r="G87" s="114"/>
      <c r="H87" s="114"/>
      <c r="I87" s="1" t="s">
        <v>40</v>
      </c>
    </row>
    <row r="88" spans="1:9">
      <c r="A88" s="1" t="s">
        <v>107</v>
      </c>
      <c r="B88" s="106" t="s">
        <v>108</v>
      </c>
      <c r="C88" s="106"/>
      <c r="D88" s="106"/>
      <c r="E88" s="106"/>
      <c r="F88" s="106"/>
      <c r="G88" s="106"/>
      <c r="H88" s="106"/>
      <c r="I88" s="19">
        <f>I80</f>
        <v>511.77</v>
      </c>
    </row>
    <row r="89" spans="1:9">
      <c r="A89" s="1" t="s">
        <v>109</v>
      </c>
      <c r="B89" s="106" t="s">
        <v>110</v>
      </c>
      <c r="C89" s="106"/>
      <c r="D89" s="106"/>
      <c r="E89" s="106"/>
      <c r="F89" s="106"/>
      <c r="G89" s="106"/>
      <c r="H89" s="106"/>
      <c r="I89" s="19">
        <f>I84</f>
        <v>0</v>
      </c>
    </row>
    <row r="90" spans="1:9">
      <c r="A90" s="114" t="s">
        <v>111</v>
      </c>
      <c r="B90" s="114"/>
      <c r="C90" s="114"/>
      <c r="D90" s="114"/>
      <c r="E90" s="114"/>
      <c r="F90" s="114"/>
      <c r="G90" s="114"/>
      <c r="H90" s="114"/>
      <c r="I90" s="15">
        <f>TRUNC(SUM(I88:I89),2)</f>
        <v>511.77</v>
      </c>
    </row>
    <row r="91" spans="1:9">
      <c r="A91" s="126"/>
      <c r="B91" s="127"/>
      <c r="C91" s="127"/>
      <c r="D91" s="127"/>
      <c r="E91" s="127"/>
      <c r="F91" s="127"/>
      <c r="G91" s="127"/>
      <c r="H91" s="127"/>
      <c r="I91" s="127"/>
    </row>
    <row r="92" spans="1:9">
      <c r="A92" s="113" t="s">
        <v>112</v>
      </c>
      <c r="B92" s="113"/>
      <c r="C92" s="113"/>
      <c r="D92" s="113"/>
      <c r="E92" s="113"/>
      <c r="F92" s="113"/>
      <c r="G92" s="113"/>
      <c r="H92" s="113"/>
      <c r="I92" s="113"/>
    </row>
    <row r="93" spans="1:9">
      <c r="A93" s="1">
        <v>5</v>
      </c>
      <c r="B93" s="114" t="s">
        <v>113</v>
      </c>
      <c r="C93" s="114"/>
      <c r="D93" s="114"/>
      <c r="E93" s="114"/>
      <c r="F93" s="114"/>
      <c r="G93" s="114"/>
      <c r="H93" s="1"/>
      <c r="I93" s="1" t="s">
        <v>40</v>
      </c>
    </row>
    <row r="94" spans="1:9">
      <c r="A94" s="1" t="s">
        <v>13</v>
      </c>
      <c r="B94" s="119" t="s">
        <v>114</v>
      </c>
      <c r="C94" s="120"/>
      <c r="D94" s="120"/>
      <c r="E94" s="120"/>
      <c r="F94" s="120"/>
      <c r="G94" s="120"/>
      <c r="H94" s="77" t="s">
        <v>15</v>
      </c>
      <c r="I94" s="79">
        <f>'Memórias de Cálculo'!D15</f>
        <v>48.560833333333328</v>
      </c>
    </row>
    <row r="95" spans="1:9">
      <c r="A95" s="1" t="s">
        <v>16</v>
      </c>
      <c r="B95" s="122" t="s">
        <v>115</v>
      </c>
      <c r="C95" s="122"/>
      <c r="D95" s="122"/>
      <c r="E95" s="122"/>
      <c r="F95" s="122"/>
      <c r="G95" s="122"/>
      <c r="H95" s="2" t="s">
        <v>15</v>
      </c>
      <c r="I95" s="19">
        <v>0</v>
      </c>
    </row>
    <row r="96" spans="1:9">
      <c r="A96" s="14" t="s">
        <v>18</v>
      </c>
      <c r="B96" s="122" t="s">
        <v>116</v>
      </c>
      <c r="C96" s="122"/>
      <c r="D96" s="122"/>
      <c r="E96" s="122"/>
      <c r="F96" s="122"/>
      <c r="G96" s="122"/>
      <c r="H96" s="2" t="s">
        <v>15</v>
      </c>
      <c r="I96" s="19" t="s">
        <v>15</v>
      </c>
    </row>
    <row r="97" spans="1:9">
      <c r="A97" s="14" t="s">
        <v>21</v>
      </c>
      <c r="B97" s="122" t="s">
        <v>48</v>
      </c>
      <c r="C97" s="122"/>
      <c r="D97" s="122"/>
      <c r="E97" s="122"/>
      <c r="F97" s="122"/>
      <c r="G97" s="122"/>
      <c r="H97" s="2" t="s">
        <v>15</v>
      </c>
      <c r="I97" s="19" t="s">
        <v>15</v>
      </c>
    </row>
    <row r="98" spans="1:9">
      <c r="A98" s="114" t="s">
        <v>117</v>
      </c>
      <c r="B98" s="114"/>
      <c r="C98" s="114"/>
      <c r="D98" s="114"/>
      <c r="E98" s="114"/>
      <c r="F98" s="114"/>
      <c r="G98" s="114"/>
      <c r="H98" s="13" t="s">
        <v>15</v>
      </c>
      <c r="I98" s="15">
        <f>TRUNC(SUM(I94:I97),2)</f>
        <v>48.56</v>
      </c>
    </row>
    <row r="99" spans="1:9">
      <c r="A99" s="126"/>
      <c r="B99" s="127"/>
      <c r="C99" s="127"/>
      <c r="D99" s="127"/>
      <c r="E99" s="127"/>
      <c r="F99" s="127"/>
      <c r="G99" s="127"/>
      <c r="H99" s="127"/>
      <c r="I99" s="127"/>
    </row>
    <row r="100" spans="1:9">
      <c r="A100" s="113" t="s">
        <v>118</v>
      </c>
      <c r="B100" s="113"/>
      <c r="C100" s="113"/>
      <c r="D100" s="113"/>
      <c r="E100" s="113"/>
      <c r="F100" s="113"/>
      <c r="G100" s="113"/>
      <c r="H100" s="113"/>
      <c r="I100" s="113"/>
    </row>
    <row r="101" spans="1:9">
      <c r="A101" s="1">
        <v>6</v>
      </c>
      <c r="B101" s="114" t="s">
        <v>119</v>
      </c>
      <c r="C101" s="114"/>
      <c r="D101" s="114"/>
      <c r="E101" s="114"/>
      <c r="F101" s="114"/>
      <c r="G101" s="114"/>
      <c r="H101" s="1" t="s">
        <v>39</v>
      </c>
      <c r="I101" s="1" t="s">
        <v>40</v>
      </c>
    </row>
    <row r="102" spans="1:9">
      <c r="A102" s="1" t="s">
        <v>13</v>
      </c>
      <c r="B102" s="104" t="s">
        <v>120</v>
      </c>
      <c r="C102" s="104"/>
      <c r="D102" s="104"/>
      <c r="E102" s="104"/>
      <c r="F102" s="104"/>
      <c r="G102" s="104"/>
      <c r="H102" s="25">
        <v>0.02</v>
      </c>
      <c r="I102" s="19">
        <f>TRUNC(H102*I128,2)</f>
        <v>121.62</v>
      </c>
    </row>
    <row r="103" spans="1:9">
      <c r="A103" s="1" t="s">
        <v>16</v>
      </c>
      <c r="B103" s="104" t="s">
        <v>121</v>
      </c>
      <c r="C103" s="104"/>
      <c r="D103" s="104"/>
      <c r="E103" s="104"/>
      <c r="F103" s="104"/>
      <c r="G103" s="104"/>
      <c r="H103" s="26">
        <v>0.03</v>
      </c>
      <c r="I103" s="19">
        <f>TRUNC(H103*(I102+I128),2)</f>
        <v>186.08</v>
      </c>
    </row>
    <row r="104" spans="1:9">
      <c r="A104" s="1" t="s">
        <v>18</v>
      </c>
      <c r="B104" s="138" t="s">
        <v>122</v>
      </c>
      <c r="C104" s="138"/>
      <c r="D104" s="138"/>
      <c r="E104" s="138"/>
      <c r="F104" s="138"/>
      <c r="G104" s="138"/>
      <c r="H104" s="23"/>
      <c r="I104" s="21"/>
    </row>
    <row r="105" spans="1:9">
      <c r="A105" s="1" t="s">
        <v>123</v>
      </c>
      <c r="B105" s="104" t="s">
        <v>124</v>
      </c>
      <c r="C105" s="104"/>
      <c r="D105" s="104"/>
      <c r="E105" s="104"/>
      <c r="F105" s="104"/>
      <c r="G105" s="104"/>
      <c r="H105" s="27">
        <v>6.4999999999999997E-3</v>
      </c>
      <c r="I105" s="19">
        <f>H105*I117</f>
        <v>45.459309999999995</v>
      </c>
    </row>
    <row r="106" spans="1:9">
      <c r="A106" s="1" t="s">
        <v>125</v>
      </c>
      <c r="B106" s="104" t="s">
        <v>126</v>
      </c>
      <c r="C106" s="104"/>
      <c r="D106" s="104"/>
      <c r="E106" s="104"/>
      <c r="F106" s="104"/>
      <c r="G106" s="104"/>
      <c r="H106" s="28">
        <v>0.03</v>
      </c>
      <c r="I106" s="19">
        <f>H106*I117</f>
        <v>209.81219999999999</v>
      </c>
    </row>
    <row r="107" spans="1:9">
      <c r="A107" s="1" t="s">
        <v>127</v>
      </c>
      <c r="B107" s="104" t="s">
        <v>128</v>
      </c>
      <c r="C107" s="104"/>
      <c r="D107" s="104"/>
      <c r="E107" s="104"/>
      <c r="F107" s="104"/>
      <c r="G107" s="104"/>
      <c r="H107" s="29">
        <v>0.05</v>
      </c>
      <c r="I107" s="19">
        <f>H107*I117</f>
        <v>349.68700000000001</v>
      </c>
    </row>
    <row r="108" spans="1:9">
      <c r="A108" s="1" t="s">
        <v>227</v>
      </c>
      <c r="B108" s="104" t="s">
        <v>228</v>
      </c>
      <c r="C108" s="104"/>
      <c r="D108" s="104"/>
      <c r="E108" s="104"/>
      <c r="F108" s="104"/>
      <c r="G108" s="104"/>
      <c r="H108" s="29"/>
      <c r="I108" s="19"/>
    </row>
    <row r="109" spans="1:9">
      <c r="A109" s="1"/>
      <c r="B109" s="106" t="s">
        <v>229</v>
      </c>
      <c r="C109" s="106"/>
      <c r="D109" s="106"/>
      <c r="E109" s="106"/>
      <c r="F109" s="106"/>
      <c r="G109" s="106"/>
      <c r="H109" s="29"/>
      <c r="I109" s="19"/>
    </row>
    <row r="110" spans="1:9">
      <c r="A110" s="114" t="s">
        <v>129</v>
      </c>
      <c r="B110" s="114"/>
      <c r="C110" s="114"/>
      <c r="D110" s="114"/>
      <c r="E110" s="114"/>
      <c r="F110" s="114"/>
      <c r="G110" s="114"/>
      <c r="H110" s="27"/>
      <c r="I110" s="15">
        <f>TRUNC(SUM(I102:I107),2)</f>
        <v>912.65</v>
      </c>
    </row>
    <row r="111" spans="1:9">
      <c r="A111" s="10"/>
      <c r="B111" s="137"/>
      <c r="C111" s="137"/>
      <c r="D111" s="137"/>
      <c r="E111" s="137"/>
      <c r="F111" s="137"/>
      <c r="G111" s="137"/>
      <c r="H111" s="137"/>
      <c r="I111" s="137"/>
    </row>
    <row r="112" spans="1:9">
      <c r="A112" s="89" t="s">
        <v>130</v>
      </c>
      <c r="B112" s="149" t="s">
        <v>131</v>
      </c>
      <c r="C112" s="149"/>
      <c r="D112" s="149"/>
      <c r="E112" s="149"/>
      <c r="F112" s="149"/>
      <c r="G112" s="149"/>
      <c r="H112" s="90">
        <f>TRUNC(H105+H106+H107,4)</f>
        <v>8.6499999999999994E-2</v>
      </c>
      <c r="I112" s="91"/>
    </row>
    <row r="113" spans="1:11">
      <c r="A113" s="92"/>
      <c r="B113" s="146">
        <v>100</v>
      </c>
      <c r="C113" s="146"/>
      <c r="D113" s="146"/>
      <c r="E113" s="146"/>
      <c r="F113" s="146"/>
      <c r="G113" s="146"/>
      <c r="H113" s="93"/>
      <c r="I113" s="94"/>
    </row>
    <row r="114" spans="1:11">
      <c r="A114" s="95"/>
      <c r="B114" s="82"/>
      <c r="C114" s="82"/>
      <c r="D114" s="82"/>
      <c r="E114" s="82"/>
      <c r="F114" s="82"/>
      <c r="G114" s="82"/>
      <c r="H114" s="93"/>
      <c r="I114" s="94"/>
    </row>
    <row r="115" spans="1:11">
      <c r="A115" s="92" t="s">
        <v>132</v>
      </c>
      <c r="B115" s="146" t="s">
        <v>133</v>
      </c>
      <c r="C115" s="146"/>
      <c r="D115" s="146"/>
      <c r="E115" s="146"/>
      <c r="F115" s="146"/>
      <c r="G115" s="146"/>
      <c r="H115" s="93"/>
      <c r="I115" s="94">
        <f>TRUNC(I128+I102+I103,2)</f>
        <v>6388.79</v>
      </c>
    </row>
    <row r="116" spans="1:11">
      <c r="A116" s="92"/>
      <c r="B116" s="82"/>
      <c r="C116" s="82"/>
      <c r="D116" s="82"/>
      <c r="E116" s="82"/>
      <c r="F116" s="82"/>
      <c r="G116" s="82"/>
      <c r="H116" s="93"/>
      <c r="I116" s="94"/>
    </row>
    <row r="117" spans="1:11">
      <c r="A117" s="92" t="s">
        <v>134</v>
      </c>
      <c r="B117" s="146" t="s">
        <v>135</v>
      </c>
      <c r="C117" s="146"/>
      <c r="D117" s="146"/>
      <c r="E117" s="146"/>
      <c r="F117" s="146"/>
      <c r="G117" s="146"/>
      <c r="H117" s="93"/>
      <c r="I117" s="94">
        <f>TRUNC(I115/(1-H112),2)</f>
        <v>6993.74</v>
      </c>
    </row>
    <row r="118" spans="1:11">
      <c r="A118" s="92"/>
      <c r="B118" s="82"/>
      <c r="C118" s="82"/>
      <c r="D118" s="82"/>
      <c r="E118" s="82"/>
      <c r="F118" s="82"/>
      <c r="G118" s="82"/>
      <c r="H118" s="93"/>
      <c r="I118" s="94"/>
    </row>
    <row r="119" spans="1:11">
      <c r="A119" s="96"/>
      <c r="B119" s="148" t="s">
        <v>136</v>
      </c>
      <c r="C119" s="148"/>
      <c r="D119" s="148"/>
      <c r="E119" s="148"/>
      <c r="F119" s="148"/>
      <c r="G119" s="148"/>
      <c r="H119" s="97"/>
      <c r="I119" s="98">
        <f>TRUNC(I117-I115,2)</f>
        <v>604.95000000000005</v>
      </c>
      <c r="K119" s="30"/>
    </row>
    <row r="120" spans="1:11">
      <c r="A120" s="10"/>
      <c r="B120" s="10"/>
      <c r="C120" s="10"/>
      <c r="D120" s="10"/>
      <c r="E120" s="10"/>
      <c r="F120" s="10"/>
      <c r="G120" s="10"/>
      <c r="H120" s="10"/>
      <c r="I120" s="16"/>
    </row>
    <row r="121" spans="1:11">
      <c r="A121" s="129" t="s">
        <v>137</v>
      </c>
      <c r="B121" s="129"/>
      <c r="C121" s="129"/>
      <c r="D121" s="129"/>
      <c r="E121" s="129"/>
      <c r="F121" s="129"/>
      <c r="G121" s="129"/>
      <c r="H121" s="129"/>
      <c r="I121" s="129"/>
      <c r="K121" s="22"/>
    </row>
    <row r="122" spans="1:11">
      <c r="A122" s="114" t="s">
        <v>138</v>
      </c>
      <c r="B122" s="114"/>
      <c r="C122" s="114"/>
      <c r="D122" s="114"/>
      <c r="E122" s="114"/>
      <c r="F122" s="114"/>
      <c r="G122" s="114"/>
      <c r="H122" s="114"/>
      <c r="I122" s="1" t="s">
        <v>40</v>
      </c>
    </row>
    <row r="123" spans="1:11">
      <c r="A123" s="2" t="s">
        <v>13</v>
      </c>
      <c r="B123" s="104" t="str">
        <f>A21</f>
        <v>MÓDULO 1 - COMPOSIÇÃO DA REMUNERAÇÃO</v>
      </c>
      <c r="C123" s="104"/>
      <c r="D123" s="104"/>
      <c r="E123" s="104"/>
      <c r="F123" s="104"/>
      <c r="G123" s="104"/>
      <c r="H123" s="104"/>
      <c r="I123" s="19">
        <f>I29</f>
        <v>2818.64</v>
      </c>
    </row>
    <row r="124" spans="1:11">
      <c r="A124" s="2" t="s">
        <v>16</v>
      </c>
      <c r="B124" s="104" t="str">
        <f>A31</f>
        <v>MÓDULO 2 – ENCARGOS E BENEFÍCIOS ANUAIS, MENSAIS E DIÁRIOS</v>
      </c>
      <c r="C124" s="104"/>
      <c r="D124" s="104"/>
      <c r="E124" s="104"/>
      <c r="F124" s="104"/>
      <c r="G124" s="104"/>
      <c r="H124" s="104"/>
      <c r="I124" s="19">
        <f>I61</f>
        <v>2475.9499999999998</v>
      </c>
    </row>
    <row r="125" spans="1:11">
      <c r="A125" s="2" t="s">
        <v>18</v>
      </c>
      <c r="B125" s="104" t="str">
        <f>A63</f>
        <v>MÓDULO 3 – PROVISÃO PARA RESCISÃO</v>
      </c>
      <c r="C125" s="104"/>
      <c r="D125" s="104"/>
      <c r="E125" s="104"/>
      <c r="F125" s="104"/>
      <c r="G125" s="104"/>
      <c r="H125" s="104"/>
      <c r="I125" s="19">
        <f>I70</f>
        <v>226.17</v>
      </c>
      <c r="K125" s="22"/>
    </row>
    <row r="126" spans="1:11">
      <c r="A126" s="2" t="s">
        <v>21</v>
      </c>
      <c r="B126" s="104" t="str">
        <f>A72</f>
        <v>MÓDULO 4 – CUSTO DE REPOSIÇÃO DO PROFISSIONAL AUSENTE</v>
      </c>
      <c r="C126" s="104"/>
      <c r="D126" s="104"/>
      <c r="E126" s="104"/>
      <c r="F126" s="104"/>
      <c r="G126" s="104"/>
      <c r="H126" s="104"/>
      <c r="I126" s="19">
        <f>I90</f>
        <v>511.77</v>
      </c>
      <c r="K126" s="22"/>
    </row>
    <row r="127" spans="1:11">
      <c r="A127" s="2" t="s">
        <v>45</v>
      </c>
      <c r="B127" s="104" t="str">
        <f>A92</f>
        <v>MÓDULO 5 – INSUMOS DIVERSOS</v>
      </c>
      <c r="C127" s="104"/>
      <c r="D127" s="104"/>
      <c r="E127" s="104"/>
      <c r="F127" s="104"/>
      <c r="G127" s="104"/>
      <c r="H127" s="104"/>
      <c r="I127" s="19">
        <f>I98</f>
        <v>48.56</v>
      </c>
    </row>
    <row r="128" spans="1:11">
      <c r="A128" s="1"/>
      <c r="B128" s="114" t="s">
        <v>139</v>
      </c>
      <c r="C128" s="114"/>
      <c r="D128" s="114"/>
      <c r="E128" s="114"/>
      <c r="F128" s="114"/>
      <c r="G128" s="114"/>
      <c r="H128" s="114"/>
      <c r="I128" s="15">
        <f>TRUNC(SUM(I123:I127),2)</f>
        <v>6081.09</v>
      </c>
      <c r="K128" s="30"/>
    </row>
    <row r="129" spans="1:10">
      <c r="A129" s="2" t="s">
        <v>47</v>
      </c>
      <c r="B129" s="104" t="str">
        <f>A100</f>
        <v>MÓDULO 6 – CUSTOS INDIRETOS, TRIBUTOS E LUCRO</v>
      </c>
      <c r="C129" s="104"/>
      <c r="D129" s="104"/>
      <c r="E129" s="104"/>
      <c r="F129" s="104"/>
      <c r="G129" s="104"/>
      <c r="H129" s="104"/>
      <c r="I129" s="19">
        <f>I110</f>
        <v>912.65</v>
      </c>
    </row>
    <row r="130" spans="1:10">
      <c r="A130" s="114" t="s">
        <v>140</v>
      </c>
      <c r="B130" s="114"/>
      <c r="C130" s="114"/>
      <c r="D130" s="114"/>
      <c r="E130" s="114"/>
      <c r="F130" s="114"/>
      <c r="G130" s="114"/>
      <c r="H130" s="114"/>
      <c r="I130" s="15">
        <f>TRUNC(SUM(I128:I129),2)</f>
        <v>6993.74</v>
      </c>
      <c r="J130">
        <v>6305.72</v>
      </c>
    </row>
    <row r="131" spans="1:10">
      <c r="A131" s="114" t="s">
        <v>141</v>
      </c>
      <c r="B131" s="114"/>
      <c r="C131" s="114"/>
      <c r="D131" s="139">
        <v>1</v>
      </c>
      <c r="E131" s="140"/>
      <c r="F131" s="140"/>
      <c r="G131" s="140"/>
      <c r="H131" s="140"/>
      <c r="I131" s="141"/>
    </row>
    <row r="132" spans="1:10" hidden="1">
      <c r="A132" s="2"/>
      <c r="B132" s="106" t="s">
        <v>142</v>
      </c>
      <c r="C132" s="106"/>
      <c r="D132" s="106"/>
      <c r="E132" s="106"/>
      <c r="F132" s="106"/>
      <c r="G132" s="106"/>
      <c r="H132" s="1"/>
      <c r="I132" s="1"/>
    </row>
    <row r="133" spans="1:10" ht="40.5" hidden="1" customHeight="1">
      <c r="A133" s="150" t="s">
        <v>143</v>
      </c>
      <c r="B133" s="150"/>
      <c r="C133" s="150" t="s">
        <v>144</v>
      </c>
      <c r="D133" s="150"/>
      <c r="E133" s="150" t="s">
        <v>145</v>
      </c>
      <c r="F133" s="150"/>
      <c r="G133" s="32" t="s">
        <v>146</v>
      </c>
      <c r="H133" s="32" t="s">
        <v>147</v>
      </c>
      <c r="I133" s="1" t="s">
        <v>40</v>
      </c>
    </row>
    <row r="134" spans="1:10" hidden="1">
      <c r="A134" s="106" t="s">
        <v>148</v>
      </c>
      <c r="B134" s="106"/>
      <c r="C134" s="104" t="s">
        <v>149</v>
      </c>
      <c r="D134" s="104"/>
      <c r="E134" s="106"/>
      <c r="F134" s="106"/>
      <c r="G134" s="5" t="s">
        <v>149</v>
      </c>
      <c r="H134" s="5"/>
      <c r="I134" s="19">
        <v>0</v>
      </c>
    </row>
    <row r="135" spans="1:10" hidden="1">
      <c r="A135" s="106" t="s">
        <v>150</v>
      </c>
      <c r="B135" s="106"/>
      <c r="C135" s="104" t="s">
        <v>149</v>
      </c>
      <c r="D135" s="104"/>
      <c r="E135" s="106"/>
      <c r="F135" s="106"/>
      <c r="G135" s="5" t="s">
        <v>149</v>
      </c>
      <c r="H135" s="5"/>
      <c r="I135" s="19">
        <v>0</v>
      </c>
    </row>
    <row r="136" spans="1:10" hidden="1">
      <c r="A136" s="106" t="s">
        <v>151</v>
      </c>
      <c r="B136" s="106"/>
      <c r="C136" s="104" t="s">
        <v>149</v>
      </c>
      <c r="D136" s="104"/>
      <c r="E136" s="106"/>
      <c r="F136" s="106"/>
      <c r="G136" s="5" t="s">
        <v>149</v>
      </c>
      <c r="H136" s="5"/>
      <c r="I136" s="19">
        <v>0</v>
      </c>
    </row>
    <row r="137" spans="1:10" hidden="1">
      <c r="A137" s="106" t="s">
        <v>152</v>
      </c>
      <c r="B137" s="106"/>
      <c r="C137" s="104" t="s">
        <v>149</v>
      </c>
      <c r="D137" s="104"/>
      <c r="E137" s="106"/>
      <c r="F137" s="106"/>
      <c r="G137" s="5" t="s">
        <v>149</v>
      </c>
      <c r="H137" s="5"/>
      <c r="I137" s="19">
        <v>0</v>
      </c>
    </row>
    <row r="138" spans="1:10" hidden="1">
      <c r="A138" s="114"/>
      <c r="B138" s="114"/>
      <c r="C138" s="106"/>
      <c r="D138" s="106"/>
      <c r="E138" s="106"/>
      <c r="F138" s="106"/>
      <c r="G138" s="8"/>
      <c r="H138" s="8"/>
      <c r="I138" s="19"/>
    </row>
    <row r="139" spans="1:10" hidden="1">
      <c r="A139" s="114"/>
      <c r="B139" s="114"/>
      <c r="C139" s="106"/>
      <c r="D139" s="106"/>
      <c r="E139" s="106"/>
      <c r="F139" s="106"/>
      <c r="G139" s="5"/>
      <c r="H139" s="5"/>
      <c r="I139" s="19"/>
    </row>
    <row r="140" spans="1:10" hidden="1">
      <c r="A140" s="114" t="s">
        <v>153</v>
      </c>
      <c r="B140" s="114"/>
      <c r="C140" s="114"/>
      <c r="D140" s="114"/>
      <c r="E140" s="114"/>
      <c r="F140" s="114"/>
      <c r="G140" s="114"/>
      <c r="H140" s="114"/>
      <c r="I140" s="15">
        <f>SUM(I138:I139)</f>
        <v>0</v>
      </c>
    </row>
    <row r="141" spans="1:10" hidden="1">
      <c r="A141" s="5"/>
      <c r="B141" s="5"/>
      <c r="C141" s="5"/>
      <c r="D141" s="5"/>
      <c r="E141" s="5"/>
      <c r="F141" s="5"/>
      <c r="G141" s="5"/>
      <c r="H141" s="5"/>
      <c r="I141" s="5"/>
    </row>
    <row r="142" spans="1:10" hidden="1">
      <c r="A142" s="2" t="s">
        <v>154</v>
      </c>
      <c r="B142" s="106" t="s">
        <v>155</v>
      </c>
      <c r="C142" s="106"/>
      <c r="D142" s="106"/>
      <c r="E142" s="106"/>
      <c r="F142" s="106"/>
      <c r="G142" s="106"/>
      <c r="H142" s="1"/>
      <c r="I142" s="1"/>
    </row>
    <row r="143" spans="1:10" hidden="1">
      <c r="A143" s="114" t="s">
        <v>156</v>
      </c>
      <c r="B143" s="114"/>
      <c r="C143" s="114"/>
      <c r="D143" s="114"/>
      <c r="E143" s="114"/>
      <c r="F143" s="114"/>
      <c r="G143" s="114"/>
      <c r="H143" s="114"/>
      <c r="I143" s="114"/>
    </row>
    <row r="144" spans="1:10" hidden="1">
      <c r="A144" s="2"/>
      <c r="B144" s="138" t="s">
        <v>157</v>
      </c>
      <c r="C144" s="138"/>
      <c r="D144" s="138"/>
      <c r="E144" s="138"/>
      <c r="F144" s="138"/>
      <c r="G144" s="138"/>
      <c r="H144" s="138"/>
      <c r="I144" s="1" t="s">
        <v>40</v>
      </c>
    </row>
    <row r="145" spans="1:11" hidden="1">
      <c r="A145" s="2" t="s">
        <v>13</v>
      </c>
      <c r="B145" s="104" t="s">
        <v>158</v>
      </c>
      <c r="C145" s="104"/>
      <c r="D145" s="104"/>
      <c r="E145" s="104"/>
      <c r="F145" s="104"/>
      <c r="G145" s="104"/>
      <c r="H145" s="104"/>
      <c r="I145" s="19">
        <f>I105</f>
        <v>45.459309999999995</v>
      </c>
    </row>
    <row r="146" spans="1:11" hidden="1">
      <c r="A146" s="2" t="s">
        <v>16</v>
      </c>
      <c r="B146" s="104" t="s">
        <v>159</v>
      </c>
      <c r="C146" s="104"/>
      <c r="D146" s="104"/>
      <c r="E146" s="104"/>
      <c r="F146" s="104"/>
      <c r="G146" s="104"/>
      <c r="H146" s="104"/>
      <c r="I146" s="19" t="e">
        <f>#REF!</f>
        <v>#REF!</v>
      </c>
    </row>
    <row r="147" spans="1:11" hidden="1">
      <c r="A147" s="2" t="s">
        <v>18</v>
      </c>
      <c r="B147" s="104" t="s">
        <v>160</v>
      </c>
      <c r="C147" s="104"/>
      <c r="D147" s="104"/>
      <c r="E147" s="104"/>
      <c r="F147" s="104"/>
      <c r="G147" s="104"/>
      <c r="H147" s="104"/>
      <c r="I147" s="19">
        <f>I110</f>
        <v>912.65</v>
      </c>
    </row>
    <row r="148" spans="1:11" hidden="1">
      <c r="A148" s="106" t="s">
        <v>161</v>
      </c>
      <c r="B148" s="106"/>
      <c r="C148" s="106"/>
      <c r="D148" s="106"/>
      <c r="E148" s="106"/>
      <c r="F148" s="106"/>
      <c r="G148" s="106"/>
      <c r="H148" s="106"/>
      <c r="I148" s="15" t="e">
        <f>SUM(I145:I147)</f>
        <v>#REF!</v>
      </c>
    </row>
    <row r="149" spans="1:11" hidden="1">
      <c r="A149" s="2" t="s">
        <v>162</v>
      </c>
      <c r="B149" s="5" t="s">
        <v>163</v>
      </c>
      <c r="C149" s="5"/>
      <c r="D149" s="5"/>
      <c r="E149" s="5"/>
      <c r="F149" s="5"/>
      <c r="G149" s="5"/>
      <c r="H149" s="5"/>
      <c r="I149" s="5"/>
    </row>
    <row r="150" spans="1:11" hidden="1">
      <c r="A150" s="5"/>
      <c r="B150" s="5"/>
      <c r="C150" s="5"/>
      <c r="D150" s="5"/>
      <c r="E150" s="5"/>
      <c r="F150" s="5"/>
      <c r="G150" s="5"/>
      <c r="H150" s="5"/>
      <c r="I150" s="5"/>
    </row>
    <row r="151" spans="1:11" hidden="1">
      <c r="A151" s="5"/>
      <c r="B151" s="5"/>
      <c r="C151" s="5"/>
      <c r="D151" s="5"/>
      <c r="E151" s="5"/>
      <c r="F151" s="5"/>
      <c r="G151" s="5"/>
      <c r="H151" s="5"/>
      <c r="I151" s="5"/>
    </row>
    <row r="152" spans="1:11">
      <c r="A152" s="114" t="s">
        <v>164</v>
      </c>
      <c r="B152" s="114"/>
      <c r="C152" s="114"/>
      <c r="D152" s="147">
        <f>D131*I130</f>
        <v>6993.74</v>
      </c>
      <c r="E152" s="147"/>
      <c r="F152" s="147"/>
      <c r="G152" s="147"/>
      <c r="H152" s="147"/>
      <c r="I152" s="147"/>
    </row>
    <row r="153" spans="1:11">
      <c r="A153" s="11"/>
      <c r="B153" s="11"/>
      <c r="C153" s="11"/>
      <c r="D153" s="44"/>
      <c r="E153" s="44"/>
      <c r="F153" s="44"/>
      <c r="G153" s="44"/>
      <c r="H153" s="44"/>
      <c r="I153" s="44"/>
    </row>
    <row r="154" spans="1:11">
      <c r="A154" s="114" t="s">
        <v>165</v>
      </c>
      <c r="B154" s="114"/>
      <c r="C154" s="114"/>
      <c r="D154" s="114"/>
      <c r="E154" s="114"/>
      <c r="F154" s="114"/>
      <c r="G154" s="17"/>
      <c r="H154" s="44"/>
      <c r="I154" s="44"/>
    </row>
    <row r="155" spans="1:11">
      <c r="A155" s="35" t="s">
        <v>63</v>
      </c>
      <c r="B155" s="85" t="s">
        <v>166</v>
      </c>
      <c r="C155" s="85"/>
      <c r="D155" s="85">
        <v>6</v>
      </c>
      <c r="E155" s="86">
        <f>Diárias!F25</f>
        <v>328.19</v>
      </c>
      <c r="F155" s="87">
        <f>D155*E155</f>
        <v>1969.1399999999999</v>
      </c>
      <c r="G155" s="17"/>
      <c r="H155" s="17"/>
      <c r="I155" s="17"/>
      <c r="J155" s="17"/>
      <c r="K155" s="17"/>
    </row>
    <row r="156" spans="1:11">
      <c r="A156" s="35" t="s">
        <v>65</v>
      </c>
      <c r="B156" s="85" t="s">
        <v>167</v>
      </c>
      <c r="C156" s="85"/>
      <c r="D156" s="85">
        <v>11</v>
      </c>
      <c r="E156" s="86">
        <f>Diárias!F24</f>
        <v>183.38</v>
      </c>
      <c r="F156" s="87">
        <f>D156*E156</f>
        <v>2017.1799999999998</v>
      </c>
      <c r="G156" s="44"/>
      <c r="H156" s="44"/>
      <c r="I156" s="44"/>
      <c r="J156" s="44"/>
      <c r="K156" s="44"/>
    </row>
    <row r="157" spans="1:11">
      <c r="A157" s="114" t="s">
        <v>168</v>
      </c>
      <c r="B157" s="114"/>
      <c r="C157" s="114"/>
      <c r="D157" s="114"/>
      <c r="E157" s="114"/>
      <c r="F157" s="46">
        <f>SUM(F155:F156)</f>
        <v>3986.3199999999997</v>
      </c>
      <c r="G157" s="44"/>
      <c r="H157" s="44"/>
      <c r="I157" s="44"/>
      <c r="J157" s="44"/>
      <c r="K157" s="44"/>
    </row>
    <row r="158" spans="1:11">
      <c r="A158" s="114" t="s">
        <v>169</v>
      </c>
      <c r="B158" s="114"/>
      <c r="C158" s="114"/>
      <c r="D158" s="114"/>
      <c r="E158" s="114"/>
      <c r="F158" s="45">
        <f>SUM(D152+F157)</f>
        <v>10980.06</v>
      </c>
    </row>
    <row r="159" spans="1:11">
      <c r="A159" s="105" t="s">
        <v>170</v>
      </c>
      <c r="B159" s="106"/>
      <c r="C159" s="106"/>
      <c r="D159" s="106"/>
      <c r="E159" s="106"/>
      <c r="F159" s="45">
        <f>F158*1</f>
        <v>10980.06</v>
      </c>
    </row>
    <row r="160" spans="1:11">
      <c r="A160" s="105" t="s">
        <v>171</v>
      </c>
      <c r="B160" s="105"/>
      <c r="C160" s="105"/>
      <c r="D160" s="105"/>
      <c r="E160" s="105"/>
      <c r="F160" s="45">
        <f>F159*12</f>
        <v>131760.72</v>
      </c>
    </row>
    <row r="162" spans="1:9" ht="66" customHeight="1">
      <c r="A162" s="143" t="s">
        <v>172</v>
      </c>
      <c r="B162" s="144"/>
      <c r="C162" s="144"/>
      <c r="D162" s="144"/>
      <c r="E162" s="144"/>
      <c r="F162" s="144"/>
      <c r="G162" s="144"/>
      <c r="H162" s="144"/>
      <c r="I162" s="144"/>
    </row>
    <row r="163" spans="1:9" ht="12.75" customHeight="1">
      <c r="A163" s="36"/>
      <c r="B163" s="37"/>
      <c r="C163" s="37"/>
      <c r="D163" s="37"/>
      <c r="E163" s="37"/>
      <c r="F163" s="37"/>
      <c r="G163" s="37"/>
      <c r="H163" s="37"/>
      <c r="I163" s="37"/>
    </row>
    <row r="164" spans="1:9" ht="26.25" customHeight="1">
      <c r="A164" s="145" t="s">
        <v>173</v>
      </c>
      <c r="B164" s="146"/>
      <c r="C164" s="146"/>
      <c r="D164" s="146"/>
      <c r="E164" s="146"/>
      <c r="F164" s="146"/>
      <c r="G164" s="146"/>
      <c r="H164" s="146"/>
      <c r="I164" s="146"/>
    </row>
    <row r="166" spans="1:9" ht="28.5" customHeight="1">
      <c r="A166" s="142" t="s">
        <v>174</v>
      </c>
      <c r="B166" s="142"/>
      <c r="C166" s="142"/>
      <c r="D166" s="142"/>
      <c r="E166" s="142"/>
      <c r="F166" s="142"/>
      <c r="G166" s="142"/>
      <c r="H166" s="142"/>
    </row>
    <row r="169" spans="1:9">
      <c r="A169" s="17" t="s">
        <v>175</v>
      </c>
      <c r="B169" s="17">
        <f>I130/I123</f>
        <v>2.4812462747991941</v>
      </c>
    </row>
    <row r="170" spans="1:9">
      <c r="A170" s="22"/>
      <c r="B170" s="17"/>
      <c r="E170" s="31"/>
    </row>
    <row r="171" spans="1:9">
      <c r="A171" s="17" t="s">
        <v>235</v>
      </c>
      <c r="B171" s="17"/>
      <c r="C171" s="22">
        <f>1*Motorista!I130</f>
        <v>6993.74</v>
      </c>
    </row>
    <row r="172" spans="1:9">
      <c r="A172" s="17" t="s">
        <v>176</v>
      </c>
      <c r="B172" s="17"/>
      <c r="C172" s="22">
        <f>H8*C171</f>
        <v>83924.88</v>
      </c>
    </row>
    <row r="173" spans="1:9">
      <c r="A173" s="31"/>
    </row>
    <row r="174" spans="1:9">
      <c r="A174" s="31"/>
    </row>
  </sheetData>
  <mergeCells count="177">
    <mergeCell ref="B119:G119"/>
    <mergeCell ref="B117:G117"/>
    <mergeCell ref="B115:G115"/>
    <mergeCell ref="B113:G113"/>
    <mergeCell ref="B112:G112"/>
    <mergeCell ref="A154:F154"/>
    <mergeCell ref="A157:E157"/>
    <mergeCell ref="A158:E158"/>
    <mergeCell ref="A159:E159"/>
    <mergeCell ref="A136:B136"/>
    <mergeCell ref="C136:D136"/>
    <mergeCell ref="E136:F136"/>
    <mergeCell ref="A137:B137"/>
    <mergeCell ref="C137:D137"/>
    <mergeCell ref="E137:F137"/>
    <mergeCell ref="A138:B138"/>
    <mergeCell ref="C138:D138"/>
    <mergeCell ref="E138:F138"/>
    <mergeCell ref="A130:H130"/>
    <mergeCell ref="B132:G132"/>
    <mergeCell ref="A133:B133"/>
    <mergeCell ref="C133:D133"/>
    <mergeCell ref="E133:F133"/>
    <mergeCell ref="A134:B134"/>
    <mergeCell ref="A160:E160"/>
    <mergeCell ref="A166:H166"/>
    <mergeCell ref="A162:I162"/>
    <mergeCell ref="A164:I164"/>
    <mergeCell ref="B147:H147"/>
    <mergeCell ref="A148:H148"/>
    <mergeCell ref="A152:C152"/>
    <mergeCell ref="D152:I152"/>
    <mergeCell ref="A139:B139"/>
    <mergeCell ref="C139:D139"/>
    <mergeCell ref="E139:F139"/>
    <mergeCell ref="A140:H140"/>
    <mergeCell ref="B142:G142"/>
    <mergeCell ref="A143:I143"/>
    <mergeCell ref="B144:H144"/>
    <mergeCell ref="B145:H145"/>
    <mergeCell ref="B146:H146"/>
    <mergeCell ref="C134:D134"/>
    <mergeCell ref="E134:F134"/>
    <mergeCell ref="A135:B135"/>
    <mergeCell ref="C135:D135"/>
    <mergeCell ref="E135:F135"/>
    <mergeCell ref="A131:C131"/>
    <mergeCell ref="D131:I131"/>
    <mergeCell ref="A121:I121"/>
    <mergeCell ref="A122:H122"/>
    <mergeCell ref="B123:H123"/>
    <mergeCell ref="B124:H124"/>
    <mergeCell ref="B125:H125"/>
    <mergeCell ref="B126:H126"/>
    <mergeCell ref="B127:H127"/>
    <mergeCell ref="B128:H128"/>
    <mergeCell ref="B129:H129"/>
    <mergeCell ref="B106:G106"/>
    <mergeCell ref="B107:G107"/>
    <mergeCell ref="A110:G110"/>
    <mergeCell ref="B111:I111"/>
    <mergeCell ref="B108:G108"/>
    <mergeCell ref="B109:G109"/>
    <mergeCell ref="B97:G97"/>
    <mergeCell ref="A98:G98"/>
    <mergeCell ref="A99:I99"/>
    <mergeCell ref="A100:I100"/>
    <mergeCell ref="B101:G101"/>
    <mergeCell ref="B102:G102"/>
    <mergeCell ref="B103:G103"/>
    <mergeCell ref="B104:G104"/>
    <mergeCell ref="B105:G105"/>
    <mergeCell ref="B88:H88"/>
    <mergeCell ref="B89:H89"/>
    <mergeCell ref="A90:H90"/>
    <mergeCell ref="A91:I91"/>
    <mergeCell ref="A92:I92"/>
    <mergeCell ref="B93:G93"/>
    <mergeCell ref="B94:G94"/>
    <mergeCell ref="B95:G95"/>
    <mergeCell ref="B96:G96"/>
    <mergeCell ref="B79:G79"/>
    <mergeCell ref="A80:G80"/>
    <mergeCell ref="A81:I81"/>
    <mergeCell ref="A82:G82"/>
    <mergeCell ref="B83:G83"/>
    <mergeCell ref="A84:G84"/>
    <mergeCell ref="A85:I85"/>
    <mergeCell ref="A86:I86"/>
    <mergeCell ref="A87:H87"/>
    <mergeCell ref="A70:G70"/>
    <mergeCell ref="A71:I71"/>
    <mergeCell ref="A72:I72"/>
    <mergeCell ref="A73:G73"/>
    <mergeCell ref="B74:G74"/>
    <mergeCell ref="B75:G75"/>
    <mergeCell ref="B76:G76"/>
    <mergeCell ref="B77:G77"/>
    <mergeCell ref="B78:G78"/>
    <mergeCell ref="A62:I62"/>
    <mergeCell ref="A63:I63"/>
    <mergeCell ref="B64:G64"/>
    <mergeCell ref="B65:G65"/>
    <mergeCell ref="B66:G66"/>
    <mergeCell ref="B67:G67"/>
    <mergeCell ref="B68:G68"/>
    <mergeCell ref="B69:G69"/>
    <mergeCell ref="B53:G53"/>
    <mergeCell ref="A54:H54"/>
    <mergeCell ref="A55:I55"/>
    <mergeCell ref="A56:I56"/>
    <mergeCell ref="A57:H57"/>
    <mergeCell ref="B58:H58"/>
    <mergeCell ref="B59:H59"/>
    <mergeCell ref="B60:H60"/>
    <mergeCell ref="A61:H61"/>
    <mergeCell ref="B49:G49"/>
    <mergeCell ref="B50:G50"/>
    <mergeCell ref="B51:G51"/>
    <mergeCell ref="B52:G52"/>
    <mergeCell ref="A37:G37"/>
    <mergeCell ref="B38:G38"/>
    <mergeCell ref="B39:G39"/>
    <mergeCell ref="B40:G40"/>
    <mergeCell ref="B41:G41"/>
    <mergeCell ref="B42:G42"/>
    <mergeCell ref="B43:G43"/>
    <mergeCell ref="B44:G44"/>
    <mergeCell ref="B45:G45"/>
    <mergeCell ref="A31:I31"/>
    <mergeCell ref="A32:G32"/>
    <mergeCell ref="B33:G33"/>
    <mergeCell ref="B34:G34"/>
    <mergeCell ref="A35:G35"/>
    <mergeCell ref="A36:I36"/>
    <mergeCell ref="A46:G46"/>
    <mergeCell ref="A47:I47"/>
    <mergeCell ref="A48:G48"/>
    <mergeCell ref="A21:I21"/>
    <mergeCell ref="B22:G22"/>
    <mergeCell ref="B23:G23"/>
    <mergeCell ref="B24:G24"/>
    <mergeCell ref="B25:G25"/>
    <mergeCell ref="B26:G26"/>
    <mergeCell ref="B27:G27"/>
    <mergeCell ref="B28:G28"/>
    <mergeCell ref="A29:H29"/>
    <mergeCell ref="B16:G16"/>
    <mergeCell ref="H16:I16"/>
    <mergeCell ref="B17:G17"/>
    <mergeCell ref="H17:I17"/>
    <mergeCell ref="B18:G18"/>
    <mergeCell ref="H18:I18"/>
    <mergeCell ref="B19:G19"/>
    <mergeCell ref="H19:I19"/>
    <mergeCell ref="A20:I20"/>
    <mergeCell ref="A1:I1"/>
    <mergeCell ref="A2:I2"/>
    <mergeCell ref="A4:I4"/>
    <mergeCell ref="B5:G5"/>
    <mergeCell ref="H5:I5"/>
    <mergeCell ref="B6:G6"/>
    <mergeCell ref="H6:I6"/>
    <mergeCell ref="B7:G7"/>
    <mergeCell ref="H7:I7"/>
    <mergeCell ref="A14:I14"/>
    <mergeCell ref="B15:G15"/>
    <mergeCell ref="H15:I15"/>
    <mergeCell ref="B8:G8"/>
    <mergeCell ref="H8:I8"/>
    <mergeCell ref="A10:I10"/>
    <mergeCell ref="A11:B11"/>
    <mergeCell ref="C11:D11"/>
    <mergeCell ref="E11:I11"/>
    <mergeCell ref="A12:B12"/>
    <mergeCell ref="C12:D12"/>
    <mergeCell ref="E12:I12"/>
  </mergeCells>
  <pageMargins left="0.39305555555555599" right="0.196527777777778" top="0.59027777777777801" bottom="0.39305555555555599" header="0.156944444444444" footer="0.156944444444444"/>
  <pageSetup paperSize="9" scale="80" firstPageNumber="0" fitToHeight="0" orientation="portrait" useFirstPageNumber="1" horizontalDpi="300" verticalDpi="300" r:id="rId1"/>
  <headerFooter alignWithMargins="0"/>
  <rowBreaks count="1" manualBreakCount="1">
    <brk id="78" max="8" man="1"/>
  </rowBreaks>
  <ignoredErrors>
    <ignoredError sqref="I68"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
  <sheetViews>
    <sheetView zoomScale="150" zoomScaleNormal="150" workbookViewId="0">
      <selection activeCell="C24" sqref="C24"/>
    </sheetView>
  </sheetViews>
  <sheetFormatPr defaultColWidth="9" defaultRowHeight="13.2"/>
  <cols>
    <col min="1" max="1" width="19" customWidth="1"/>
    <col min="2" max="2" width="9.6640625" customWidth="1"/>
    <col min="3" max="3" width="23.6640625" customWidth="1"/>
    <col min="4" max="4" width="20" customWidth="1"/>
    <col min="5" max="5" width="24.44140625" customWidth="1"/>
  </cols>
  <sheetData>
    <row r="1" spans="1:5">
      <c r="A1" s="8" t="s">
        <v>157</v>
      </c>
      <c r="B1" s="8" t="s">
        <v>177</v>
      </c>
      <c r="C1" s="8" t="s">
        <v>178</v>
      </c>
      <c r="D1" s="8" t="s">
        <v>179</v>
      </c>
      <c r="E1" s="8" t="s">
        <v>180</v>
      </c>
    </row>
    <row r="2" spans="1:5">
      <c r="A2" s="5" t="s">
        <v>181</v>
      </c>
      <c r="B2" s="2">
        <v>6350</v>
      </c>
      <c r="C2" s="2">
        <v>800</v>
      </c>
      <c r="D2" s="2">
        <f>B2/C2</f>
        <v>7.9375</v>
      </c>
      <c r="E2" s="2">
        <v>7</v>
      </c>
    </row>
    <row r="3" spans="1:5">
      <c r="A3" s="5" t="s">
        <v>182</v>
      </c>
      <c r="B3" s="2">
        <v>4500</v>
      </c>
      <c r="C3" s="2">
        <v>1800</v>
      </c>
      <c r="D3" s="2">
        <f>B3/C3</f>
        <v>2.5</v>
      </c>
      <c r="E3" s="2">
        <v>2</v>
      </c>
    </row>
    <row r="4" spans="1:5">
      <c r="A4" s="8" t="s">
        <v>161</v>
      </c>
      <c r="B4" s="1">
        <f>SUM(B2:B3)</f>
        <v>10850</v>
      </c>
      <c r="C4" s="151"/>
      <c r="D4" s="152"/>
      <c r="E4" s="1">
        <f>SUM(E2:E3)</f>
        <v>9</v>
      </c>
    </row>
  </sheetData>
  <mergeCells count="1">
    <mergeCell ref="C4:D4"/>
  </mergeCells>
  <pageMargins left="0.51180555555555596" right="0.51180555555555596" top="0.78680555555555598" bottom="0.78680555555555598" header="0.31458333333333299" footer="0.31458333333333299"/>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E3C8D-81F2-4D0F-A061-E6B2A2341EED}">
  <dimension ref="A1:H60"/>
  <sheetViews>
    <sheetView view="pageBreakPreview" zoomScaleNormal="100" zoomScaleSheetLayoutView="100" workbookViewId="0">
      <selection activeCell="F3" sqref="F3:G3"/>
    </sheetView>
  </sheetViews>
  <sheetFormatPr defaultColWidth="14.44140625" defaultRowHeight="13.2" zeroHeight="1"/>
  <cols>
    <col min="1" max="1" width="8.6640625" style="72" customWidth="1"/>
    <col min="2" max="5" width="18" style="72" customWidth="1"/>
    <col min="6" max="8" width="14.44140625" style="72"/>
  </cols>
  <sheetData>
    <row r="1" spans="1:8" ht="13.8">
      <c r="A1" s="154" t="s">
        <v>183</v>
      </c>
      <c r="B1" s="155"/>
      <c r="C1" s="155"/>
      <c r="D1" s="155"/>
      <c r="E1" s="155"/>
      <c r="F1" s="155"/>
      <c r="G1" s="156"/>
      <c r="H1" s="47"/>
    </row>
    <row r="2" spans="1:8" ht="13.8">
      <c r="A2" s="157" t="s">
        <v>24</v>
      </c>
      <c r="B2" s="158"/>
      <c r="C2" s="158"/>
      <c r="D2" s="159"/>
      <c r="E2" s="48" t="s">
        <v>25</v>
      </c>
      <c r="F2" s="157" t="s">
        <v>184</v>
      </c>
      <c r="G2" s="159"/>
      <c r="H2" s="47"/>
    </row>
    <row r="3" spans="1:8" ht="13.8">
      <c r="A3" s="160" t="s">
        <v>185</v>
      </c>
      <c r="B3" s="161"/>
      <c r="C3" s="161"/>
      <c r="D3" s="162"/>
      <c r="E3" s="49" t="s">
        <v>186</v>
      </c>
      <c r="F3" s="163">
        <f>Resumo!D5</f>
        <v>132</v>
      </c>
      <c r="G3" s="164"/>
      <c r="H3" s="50"/>
    </row>
    <row r="4" spans="1:8" ht="13.8">
      <c r="A4" s="165" t="s">
        <v>187</v>
      </c>
      <c r="B4" s="166"/>
      <c r="C4" s="166"/>
      <c r="D4" s="167"/>
      <c r="E4" s="51" t="s">
        <v>186</v>
      </c>
      <c r="F4" s="163">
        <f>Resumo!D4</f>
        <v>72</v>
      </c>
      <c r="G4" s="164"/>
      <c r="H4" s="52"/>
    </row>
    <row r="5" spans="1:8" ht="13.8">
      <c r="A5" s="47"/>
      <c r="B5" s="47"/>
      <c r="C5" s="47"/>
      <c r="D5" s="47"/>
      <c r="E5" s="47"/>
      <c r="F5" s="47"/>
      <c r="G5" s="47"/>
      <c r="H5" s="47"/>
    </row>
    <row r="6" spans="1:8" ht="13.8">
      <c r="A6" s="168" t="s">
        <v>188</v>
      </c>
      <c r="B6" s="169"/>
      <c r="C6" s="169"/>
      <c r="D6" s="169"/>
      <c r="E6" s="169"/>
      <c r="F6" s="169"/>
      <c r="G6" s="169"/>
      <c r="H6" s="170"/>
    </row>
    <row r="7" spans="1:8" ht="20.399999999999999">
      <c r="A7" s="53" t="s">
        <v>15</v>
      </c>
      <c r="B7" s="171" t="s">
        <v>189</v>
      </c>
      <c r="C7" s="172"/>
      <c r="D7" s="172"/>
      <c r="E7" s="172"/>
      <c r="F7" s="173"/>
      <c r="G7" s="53" t="s">
        <v>190</v>
      </c>
      <c r="H7" s="53" t="s">
        <v>191</v>
      </c>
    </row>
    <row r="8" spans="1:8" ht="13.8">
      <c r="A8" s="54" t="s">
        <v>13</v>
      </c>
      <c r="B8" s="174" t="s">
        <v>192</v>
      </c>
      <c r="C8" s="174"/>
      <c r="D8" s="174"/>
      <c r="E8" s="174"/>
      <c r="F8" s="174"/>
      <c r="G8" s="55">
        <v>133.69999999999999</v>
      </c>
      <c r="H8" s="55">
        <v>239.26</v>
      </c>
    </row>
    <row r="9" spans="1:8" ht="13.8">
      <c r="A9" s="47"/>
      <c r="B9" s="47"/>
      <c r="C9" s="47"/>
      <c r="D9" s="47"/>
      <c r="E9" s="47"/>
      <c r="F9" s="47"/>
      <c r="G9" s="47"/>
      <c r="H9" s="47"/>
    </row>
    <row r="10" spans="1:8" ht="13.8">
      <c r="A10" s="168" t="s">
        <v>119</v>
      </c>
      <c r="B10" s="169"/>
      <c r="C10" s="169"/>
      <c r="D10" s="169"/>
      <c r="E10" s="169"/>
      <c r="F10" s="169"/>
      <c r="G10" s="169"/>
      <c r="H10" s="170"/>
    </row>
    <row r="11" spans="1:8" ht="20.399999999999999">
      <c r="A11" s="53" t="s">
        <v>15</v>
      </c>
      <c r="B11" s="171" t="s">
        <v>193</v>
      </c>
      <c r="C11" s="172"/>
      <c r="D11" s="172"/>
      <c r="E11" s="172"/>
      <c r="F11" s="173"/>
      <c r="G11" s="53" t="s">
        <v>190</v>
      </c>
      <c r="H11" s="53" t="s">
        <v>191</v>
      </c>
    </row>
    <row r="12" spans="1:8" ht="13.8">
      <c r="A12" s="56" t="s">
        <v>13</v>
      </c>
      <c r="B12" s="153" t="s">
        <v>194</v>
      </c>
      <c r="C12" s="153"/>
      <c r="D12" s="153"/>
      <c r="E12" s="153"/>
      <c r="F12" s="57">
        <v>0.02</v>
      </c>
      <c r="G12" s="58">
        <f>ROUND(G8*$F12,2)</f>
        <v>2.67</v>
      </c>
      <c r="H12" s="58">
        <f>ROUND(H8*$F12,2)</f>
        <v>4.79</v>
      </c>
    </row>
    <row r="13" spans="1:8" ht="13.8">
      <c r="A13" s="56" t="s">
        <v>16</v>
      </c>
      <c r="B13" s="153" t="s">
        <v>121</v>
      </c>
      <c r="C13" s="153"/>
      <c r="D13" s="153"/>
      <c r="E13" s="153"/>
      <c r="F13" s="57">
        <v>0.02</v>
      </c>
      <c r="G13" s="58">
        <f>(G8+G12)*$F13</f>
        <v>2.7273999999999994</v>
      </c>
      <c r="H13" s="58">
        <f>(H8+H12)*$F13</f>
        <v>4.8809999999999993</v>
      </c>
    </row>
    <row r="14" spans="1:8" ht="13.8">
      <c r="A14" s="54" t="s">
        <v>195</v>
      </c>
      <c r="B14" s="178" t="s">
        <v>221</v>
      </c>
      <c r="C14" s="179"/>
      <c r="D14" s="178"/>
      <c r="E14" s="178"/>
      <c r="F14" s="59">
        <v>3.6499999999999998E-2</v>
      </c>
      <c r="G14" s="60">
        <f>ROUND(((G8+G12+G13)/(1-$F18))*$F14,2)</f>
        <v>6.69</v>
      </c>
      <c r="H14" s="60">
        <f>ROUND(((H8+H12+H13)/(1-$F18))*$F14,2)</f>
        <v>11.98</v>
      </c>
    </row>
    <row r="15" spans="1:8" ht="13.8">
      <c r="A15" s="54" t="s">
        <v>196</v>
      </c>
      <c r="B15" s="153" t="s">
        <v>232</v>
      </c>
      <c r="C15" s="153"/>
      <c r="D15" s="153"/>
      <c r="E15" s="153"/>
      <c r="F15" s="59">
        <v>4.4999999999999998E-2</v>
      </c>
      <c r="G15" s="60">
        <f>ROUND(((G8+G12+G13)/(1-$F18))*$F15,2)</f>
        <v>8.25</v>
      </c>
      <c r="H15" s="60">
        <f>ROUND(((H8+H12+H13)/(1-$F18))*$F15,2)</f>
        <v>14.77</v>
      </c>
    </row>
    <row r="16" spans="1:8" ht="13.8">
      <c r="A16" s="54" t="s">
        <v>225</v>
      </c>
      <c r="B16" s="153" t="s">
        <v>233</v>
      </c>
      <c r="C16" s="153"/>
      <c r="D16" s="153"/>
      <c r="E16" s="153"/>
      <c r="F16" s="59">
        <v>0.11</v>
      </c>
      <c r="G16" s="60">
        <f>ROUND(((G8+G12+G13)/(1-$F18))*$F16,2)</f>
        <v>20.170000000000002</v>
      </c>
      <c r="H16" s="60">
        <f>ROUND(((H8+H12+H13)/(1-$F18))*$F16,2)</f>
        <v>36.1</v>
      </c>
    </row>
    <row r="17" spans="1:8" ht="13.8">
      <c r="A17" s="54" t="s">
        <v>226</v>
      </c>
      <c r="B17" s="178" t="s">
        <v>222</v>
      </c>
      <c r="C17" s="178"/>
      <c r="D17" s="178"/>
      <c r="E17" s="178"/>
      <c r="F17" s="59">
        <f>'[1]Cadastro de Dados'!C90</f>
        <v>0.05</v>
      </c>
      <c r="G17" s="60">
        <f>ROUND(((G8+G12+G13)/(1-$F18))*$F17,2)</f>
        <v>9.17</v>
      </c>
      <c r="H17" s="60">
        <f>ROUND(((H8+H12+H13)/(1-$F18))*$F17,2)</f>
        <v>16.41</v>
      </c>
    </row>
    <row r="18" spans="1:8" ht="13.8">
      <c r="A18" s="56" t="s">
        <v>18</v>
      </c>
      <c r="B18" s="180" t="s">
        <v>197</v>
      </c>
      <c r="C18" s="180"/>
      <c r="D18" s="180"/>
      <c r="E18" s="180"/>
      <c r="F18" s="61">
        <f>SUM(F14:F17)</f>
        <v>0.24149999999999999</v>
      </c>
      <c r="G18" s="60">
        <f>ROUND(SUM(G14:G17),2)</f>
        <v>44.28</v>
      </c>
      <c r="H18" s="60">
        <f>ROUND(SUM(H14:H17),2)</f>
        <v>79.260000000000005</v>
      </c>
    </row>
    <row r="19" spans="1:8" ht="13.8">
      <c r="A19" s="177" t="s">
        <v>198</v>
      </c>
      <c r="B19" s="177"/>
      <c r="C19" s="177"/>
      <c r="D19" s="177"/>
      <c r="E19" s="177"/>
      <c r="F19" s="62">
        <f>(1+F12)*(1+F13)/(1-F18)-1</f>
        <v>0.37165458141067909</v>
      </c>
      <c r="G19" s="63">
        <f>ROUND(SUM(G12,G13,G18),2)</f>
        <v>49.68</v>
      </c>
      <c r="H19" s="63">
        <f>ROUND(SUM(H12,H13,H18),2)</f>
        <v>88.93</v>
      </c>
    </row>
    <row r="20" spans="1:8" ht="60" customHeight="1">
      <c r="A20" s="182" t="s">
        <v>234</v>
      </c>
      <c r="B20" s="183"/>
      <c r="C20" s="183"/>
      <c r="D20" s="183"/>
      <c r="E20" s="183"/>
      <c r="F20" s="183"/>
      <c r="G20" s="183"/>
      <c r="H20" s="183"/>
    </row>
    <row r="21" spans="1:8" ht="13.8">
      <c r="A21" s="47"/>
      <c r="B21" s="47"/>
      <c r="C21" s="47"/>
      <c r="D21" s="47"/>
      <c r="E21" s="47"/>
      <c r="F21" s="47"/>
      <c r="G21" s="47"/>
      <c r="H21" s="47"/>
    </row>
    <row r="22" spans="1:8" ht="13.8">
      <c r="A22" s="181" t="s">
        <v>199</v>
      </c>
      <c r="B22" s="181"/>
      <c r="C22" s="181"/>
      <c r="D22" s="181"/>
      <c r="E22" s="181"/>
      <c r="F22" s="181"/>
      <c r="G22" s="181"/>
      <c r="H22" s="181"/>
    </row>
    <row r="23" spans="1:8" ht="20.399999999999999">
      <c r="A23" s="157" t="s">
        <v>24</v>
      </c>
      <c r="B23" s="157"/>
      <c r="C23" s="157"/>
      <c r="D23" s="48" t="s">
        <v>25</v>
      </c>
      <c r="E23" s="64" t="s">
        <v>200</v>
      </c>
      <c r="F23" s="48" t="s">
        <v>201</v>
      </c>
      <c r="G23" s="48" t="s">
        <v>202</v>
      </c>
      <c r="H23" s="48" t="s">
        <v>203</v>
      </c>
    </row>
    <row r="24" spans="1:8" ht="13.8">
      <c r="A24" s="175" t="s">
        <v>204</v>
      </c>
      <c r="B24" s="175"/>
      <c r="C24" s="175"/>
      <c r="D24" s="65" t="s">
        <v>186</v>
      </c>
      <c r="E24" s="66">
        <f>G8</f>
        <v>133.69999999999999</v>
      </c>
      <c r="F24" s="67">
        <f>ROUND(G8+G19,2)</f>
        <v>183.38</v>
      </c>
      <c r="G24" s="65">
        <v>11</v>
      </c>
      <c r="H24" s="63">
        <f>F24*G24</f>
        <v>2017.1799999999998</v>
      </c>
    </row>
    <row r="25" spans="1:8" ht="13.8">
      <c r="A25" s="176" t="s">
        <v>205</v>
      </c>
      <c r="B25" s="176"/>
      <c r="C25" s="176"/>
      <c r="D25" s="68" t="s">
        <v>186</v>
      </c>
      <c r="E25" s="66">
        <f>H8</f>
        <v>239.26</v>
      </c>
      <c r="F25" s="67">
        <f>ROUND(H8+H19,2)</f>
        <v>328.19</v>
      </c>
      <c r="G25" s="65">
        <v>6</v>
      </c>
      <c r="H25" s="63">
        <f>F25*G25</f>
        <v>1969.1399999999999</v>
      </c>
    </row>
    <row r="26" spans="1:8" ht="13.8">
      <c r="A26" s="177" t="s">
        <v>206</v>
      </c>
      <c r="B26" s="177"/>
      <c r="C26" s="177"/>
      <c r="D26" s="177"/>
      <c r="E26" s="177"/>
      <c r="F26" s="177"/>
      <c r="G26" s="177"/>
      <c r="H26" s="63">
        <f>ROUND(SUM(H24:H25),2)</f>
        <v>3986.32</v>
      </c>
    </row>
    <row r="27" spans="1:8" ht="13.8">
      <c r="A27" s="69"/>
      <c r="B27" s="69"/>
      <c r="C27" s="69"/>
      <c r="D27" s="69"/>
      <c r="E27" s="69"/>
      <c r="F27" s="69"/>
      <c r="G27" s="69"/>
      <c r="H27" s="69"/>
    </row>
    <row r="28" spans="1:8" ht="14.4">
      <c r="A28" s="70"/>
      <c r="B28" s="70"/>
      <c r="C28" s="71"/>
      <c r="D28" s="71"/>
      <c r="E28" s="71"/>
      <c r="F28" s="70"/>
      <c r="G28" s="70"/>
      <c r="H28" s="70"/>
    </row>
    <row r="29" spans="1:8" ht="14.4">
      <c r="A29" s="71"/>
      <c r="B29" s="71"/>
      <c r="C29" s="71"/>
      <c r="D29" s="71"/>
      <c r="E29" s="71"/>
      <c r="F29" s="71"/>
      <c r="G29" s="71"/>
      <c r="H29" s="71"/>
    </row>
    <row r="30" spans="1:8" ht="14.4" hidden="1">
      <c r="A30" s="71"/>
      <c r="B30" s="71"/>
      <c r="C30" s="71"/>
      <c r="D30" s="71"/>
      <c r="E30" s="71"/>
      <c r="F30" s="71"/>
      <c r="G30" s="71"/>
      <c r="H30" s="71"/>
    </row>
    <row r="31" spans="1:8" ht="14.4" hidden="1">
      <c r="A31" s="71"/>
      <c r="B31" s="71"/>
      <c r="C31" s="71"/>
      <c r="D31" s="71"/>
      <c r="E31" s="71"/>
      <c r="F31" s="71"/>
      <c r="G31" s="71"/>
      <c r="H31" s="71"/>
    </row>
    <row r="32" spans="1:8" ht="14.4" hidden="1">
      <c r="A32" s="71"/>
      <c r="B32" s="71"/>
      <c r="C32" s="71"/>
      <c r="D32" s="71"/>
      <c r="E32" s="71"/>
      <c r="F32" s="71"/>
      <c r="G32" s="71"/>
      <c r="H32" s="71"/>
    </row>
    <row r="33" spans="1:8" ht="14.4" hidden="1">
      <c r="A33" s="71"/>
      <c r="B33" s="71"/>
      <c r="C33" s="71"/>
      <c r="D33" s="71"/>
      <c r="E33" s="71"/>
      <c r="F33" s="71"/>
      <c r="G33" s="71"/>
      <c r="H33" s="71"/>
    </row>
    <row r="34" spans="1:8"/>
    <row r="35" spans="1:8"/>
    <row r="36" spans="1:8"/>
    <row r="37" spans="1:8"/>
    <row r="38" spans="1:8"/>
    <row r="39" spans="1:8"/>
    <row r="40" spans="1:8"/>
    <row r="41" spans="1:8"/>
    <row r="42" spans="1:8"/>
    <row r="43" spans="1:8"/>
    <row r="44" spans="1:8"/>
    <row r="45" spans="1:8"/>
    <row r="46" spans="1:8"/>
    <row r="47" spans="1:8"/>
    <row r="48" spans="1:8"/>
    <row r="49"/>
    <row r="50"/>
    <row r="51"/>
    <row r="52"/>
    <row r="53"/>
    <row r="54"/>
    <row r="55"/>
    <row r="56"/>
    <row r="57"/>
    <row r="59"/>
    <row r="60"/>
  </sheetData>
  <mergeCells count="26">
    <mergeCell ref="A23:C23"/>
    <mergeCell ref="A24:C24"/>
    <mergeCell ref="A25:C25"/>
    <mergeCell ref="A26:G26"/>
    <mergeCell ref="B13:E13"/>
    <mergeCell ref="B14:E14"/>
    <mergeCell ref="B17:E17"/>
    <mergeCell ref="B18:E18"/>
    <mergeCell ref="A19:E19"/>
    <mergeCell ref="A22:H22"/>
    <mergeCell ref="B15:E15"/>
    <mergeCell ref="B16:E16"/>
    <mergeCell ref="A20:H20"/>
    <mergeCell ref="B12:E12"/>
    <mergeCell ref="A1:G1"/>
    <mergeCell ref="A2:D2"/>
    <mergeCell ref="F2:G2"/>
    <mergeCell ref="A3:D3"/>
    <mergeCell ref="F3:G3"/>
    <mergeCell ref="A4:D4"/>
    <mergeCell ref="F4:G4"/>
    <mergeCell ref="A6:H6"/>
    <mergeCell ref="B7:F7"/>
    <mergeCell ref="B8:F8"/>
    <mergeCell ref="A10:H10"/>
    <mergeCell ref="B11:F11"/>
  </mergeCells>
  <phoneticPr fontId="23" type="noConversion"/>
  <pageMargins left="0.511811024" right="0.511811024" top="0.78740157499999996" bottom="0.78740157499999996" header="0.31496062000000002" footer="0.31496062000000002"/>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5"/>
  <sheetViews>
    <sheetView view="pageBreakPreview" zoomScaleNormal="100" zoomScaleSheetLayoutView="100" workbookViewId="0">
      <selection activeCell="K28" sqref="K28"/>
    </sheetView>
  </sheetViews>
  <sheetFormatPr defaultColWidth="9" defaultRowHeight="13.2"/>
  <cols>
    <col min="1" max="1" width="19" customWidth="1"/>
    <col min="3" max="3" width="14.109375" customWidth="1"/>
    <col min="4" max="4" width="14.33203125" customWidth="1"/>
    <col min="5" max="5" width="14.88671875" customWidth="1"/>
    <col min="6" max="6" width="18" customWidth="1"/>
    <col min="8" max="8" width="18.44140625" customWidth="1"/>
    <col min="9" max="10" width="12.6640625" customWidth="1"/>
    <col min="11" max="11" width="21.6640625" customWidth="1"/>
  </cols>
  <sheetData>
    <row r="1" spans="1:6" ht="15.6">
      <c r="A1" s="184" t="s">
        <v>207</v>
      </c>
      <c r="B1" s="184"/>
      <c r="C1" s="184"/>
      <c r="D1" s="184"/>
      <c r="E1" s="184"/>
      <c r="F1" s="184"/>
    </row>
    <row r="3" spans="1:6">
      <c r="A3" s="1" t="s">
        <v>157</v>
      </c>
      <c r="B3" s="1" t="s">
        <v>208</v>
      </c>
      <c r="C3" s="1" t="s">
        <v>209</v>
      </c>
      <c r="D3" s="1" t="s">
        <v>210</v>
      </c>
      <c r="E3" s="1" t="s">
        <v>230</v>
      </c>
      <c r="F3" s="1" t="s">
        <v>211</v>
      </c>
    </row>
    <row r="4" spans="1:6">
      <c r="A4" s="2" t="s">
        <v>212</v>
      </c>
      <c r="B4" s="2">
        <v>1</v>
      </c>
      <c r="C4" s="3">
        <v>107.44</v>
      </c>
      <c r="D4" s="4">
        <f t="shared" ref="D4:D9" si="0">B4*C4</f>
        <v>107.44</v>
      </c>
      <c r="E4" s="4">
        <f>D4/12</f>
        <v>8.9533333333333331</v>
      </c>
      <c r="F4" s="35" t="s">
        <v>213</v>
      </c>
    </row>
    <row r="5" spans="1:6">
      <c r="A5" s="2" t="s">
        <v>214</v>
      </c>
      <c r="B5" s="2">
        <v>2</v>
      </c>
      <c r="C5" s="3">
        <v>103.36</v>
      </c>
      <c r="D5" s="4">
        <f t="shared" si="0"/>
        <v>206.72</v>
      </c>
      <c r="E5" s="4">
        <f>D5/12</f>
        <v>17.226666666666667</v>
      </c>
      <c r="F5" s="35" t="s">
        <v>213</v>
      </c>
    </row>
    <row r="6" spans="1:6">
      <c r="A6" s="2" t="s">
        <v>215</v>
      </c>
      <c r="B6" s="2">
        <v>2</v>
      </c>
      <c r="C6" s="3">
        <v>18.829999999999998</v>
      </c>
      <c r="D6" s="4">
        <f t="shared" si="0"/>
        <v>37.659999999999997</v>
      </c>
      <c r="E6" s="4">
        <f t="shared" ref="E6:E9" si="1">D6/12</f>
        <v>3.1383333333333332</v>
      </c>
      <c r="F6" s="35" t="s">
        <v>213</v>
      </c>
    </row>
    <row r="7" spans="1:6">
      <c r="A7" s="2" t="s">
        <v>216</v>
      </c>
      <c r="B7" s="2">
        <v>2</v>
      </c>
      <c r="C7" s="3">
        <v>39.89</v>
      </c>
      <c r="D7" s="4">
        <f t="shared" si="0"/>
        <v>79.78</v>
      </c>
      <c r="E7" s="4">
        <f t="shared" si="1"/>
        <v>6.6483333333333334</v>
      </c>
      <c r="F7" s="35" t="s">
        <v>213</v>
      </c>
    </row>
    <row r="8" spans="1:6">
      <c r="A8" s="2" t="s">
        <v>217</v>
      </c>
      <c r="B8" s="2">
        <v>1</v>
      </c>
      <c r="C8" s="3">
        <v>19.11</v>
      </c>
      <c r="D8" s="4">
        <f t="shared" si="0"/>
        <v>19.11</v>
      </c>
      <c r="E8" s="4">
        <f t="shared" si="1"/>
        <v>1.5925</v>
      </c>
      <c r="F8" s="35" t="s">
        <v>213</v>
      </c>
    </row>
    <row r="9" spans="1:6">
      <c r="A9" s="2" t="s">
        <v>218</v>
      </c>
      <c r="B9" s="2">
        <v>2</v>
      </c>
      <c r="C9" s="3">
        <v>66.010000000000005</v>
      </c>
      <c r="D9" s="4">
        <f t="shared" si="0"/>
        <v>132.02000000000001</v>
      </c>
      <c r="E9" s="4">
        <f t="shared" si="1"/>
        <v>11.001666666666667</v>
      </c>
      <c r="F9" s="35" t="s">
        <v>213</v>
      </c>
    </row>
    <row r="10" spans="1:6">
      <c r="A10" s="2"/>
      <c r="B10" s="2"/>
      <c r="C10" s="3"/>
      <c r="D10" s="4"/>
      <c r="E10" s="4"/>
      <c r="F10" s="35"/>
    </row>
    <row r="11" spans="1:6">
      <c r="A11" s="2"/>
      <c r="B11" s="2"/>
      <c r="C11" s="3"/>
      <c r="D11" s="4"/>
      <c r="E11" s="4"/>
      <c r="F11" s="35"/>
    </row>
    <row r="12" spans="1:6">
      <c r="A12" s="2"/>
      <c r="B12" s="2"/>
      <c r="C12" s="3"/>
      <c r="D12" s="4"/>
      <c r="E12" s="4"/>
      <c r="F12" s="35"/>
    </row>
    <row r="13" spans="1:6">
      <c r="A13" s="185" t="s">
        <v>219</v>
      </c>
      <c r="B13" s="185"/>
      <c r="C13" s="185"/>
      <c r="D13" s="6">
        <f>SUM(D4:D12)</f>
        <v>582.7299999999999</v>
      </c>
      <c r="E13" s="83"/>
    </row>
    <row r="15" spans="1:6">
      <c r="A15" s="114" t="s">
        <v>220</v>
      </c>
      <c r="B15" s="114"/>
      <c r="C15" s="114"/>
      <c r="D15" s="7">
        <f>D13/12</f>
        <v>48.560833333333328</v>
      </c>
      <c r="E15" s="84"/>
    </row>
  </sheetData>
  <mergeCells count="3">
    <mergeCell ref="A1:F1"/>
    <mergeCell ref="A13:C13"/>
    <mergeCell ref="A15:C15"/>
  </mergeCells>
  <pageMargins left="0.51180555555555596" right="0.51180555555555596" top="0.78680555555555598" bottom="0.78680555555555598" header="0.31458333333333299" footer="0.31458333333333299"/>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5d728d8-33ea-40de-8af5-487049c1684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C9E465050030340BA9BE484E8785AD2" ma:contentTypeVersion="10" ma:contentTypeDescription="Crie um novo documento." ma:contentTypeScope="" ma:versionID="763b47a34e0b48ad54e0c50d28daeb45">
  <xsd:schema xmlns:xsd="http://www.w3.org/2001/XMLSchema" xmlns:xs="http://www.w3.org/2001/XMLSchema" xmlns:p="http://schemas.microsoft.com/office/2006/metadata/properties" xmlns:ns2="55d728d8-33ea-40de-8af5-487049c16840" targetNamespace="http://schemas.microsoft.com/office/2006/metadata/properties" ma:root="true" ma:fieldsID="12deacac33cd9cb0eaedcfb8c9dba02e" ns2:_="">
    <xsd:import namespace="55d728d8-33ea-40de-8af5-487049c168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d728d8-33ea-40de-8af5-487049c168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abe3d53f-864c-4c30-b421-a8cfe89dac5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6D2FC1-D4C8-469A-B409-B1DDD18F6AE0}">
  <ds:schemaRefs>
    <ds:schemaRef ds:uri="http://schemas.microsoft.com/sharepoint/v3/contenttype/forms"/>
  </ds:schemaRefs>
</ds:datastoreItem>
</file>

<file path=customXml/itemProps2.xml><?xml version="1.0" encoding="utf-8"?>
<ds:datastoreItem xmlns:ds="http://schemas.openxmlformats.org/officeDocument/2006/customXml" ds:itemID="{75B6F7B4-346B-48DF-A10F-FB647613A908}">
  <ds:schemaRefs>
    <ds:schemaRef ds:uri="http://schemas.microsoft.com/office/2006/metadata/properties"/>
    <ds:schemaRef ds:uri="http://schemas.microsoft.com/office/infopath/2007/PartnerControls"/>
    <ds:schemaRef ds:uri="37f0868e-4b80-4503-b4b9-2a9fa73f0c76"/>
    <ds:schemaRef ds:uri="608e1cb2-a0c6-4d72-b363-1f39fd5290a3"/>
    <ds:schemaRef ds:uri="55d728d8-33ea-40de-8af5-487049c16840"/>
  </ds:schemaRefs>
</ds:datastoreItem>
</file>

<file path=customXml/itemProps3.xml><?xml version="1.0" encoding="utf-8"?>
<ds:datastoreItem xmlns:ds="http://schemas.openxmlformats.org/officeDocument/2006/customXml" ds:itemID="{FED2FECD-63A5-44A4-8FD1-6705150584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d728d8-33ea-40de-8af5-487049c168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Resumo</vt:lpstr>
      <vt:lpstr>Motorista</vt:lpstr>
      <vt:lpstr>Quantidade de Serventes</vt:lpstr>
      <vt:lpstr>Diárias</vt:lpstr>
      <vt:lpstr>Memórias de Cálculo</vt:lpstr>
      <vt:lpstr>'Memórias de Cálculo'!Area_de_impressao</vt:lpstr>
      <vt:lpstr>Motorista!Area_de_impressao</vt:lpstr>
      <vt:lpstr>Resumo!Area_de_impressao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Patrick</dc:creator>
  <cp:keywords/>
  <dc:description/>
  <cp:lastModifiedBy>Sueldo Junior</cp:lastModifiedBy>
  <cp:revision/>
  <cp:lastPrinted>2025-03-14T12:18:07Z</cp:lastPrinted>
  <dcterms:created xsi:type="dcterms:W3CDTF">2010-12-08T17:56:00Z</dcterms:created>
  <dcterms:modified xsi:type="dcterms:W3CDTF">2025-03-28T01:33:57Z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1046-10.2.0.7516</vt:lpwstr>
  </property>
  <property fmtid="{D5CDD505-2E9C-101B-9397-08002B2CF9AE}" pid="3" name="ContentTypeId">
    <vt:lpwstr>0x010100AC9E465050030340BA9BE484E8785AD2</vt:lpwstr>
  </property>
  <property fmtid="{D5CDD505-2E9C-101B-9397-08002B2CF9AE}" pid="4" name="MediaServiceImageTags">
    <vt:lpwstr/>
  </property>
</Properties>
</file>